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Summary" sheetId="4" r:id="rId1"/>
    <sheet name="Budget 2019-20" sheetId="1" state="hidden" r:id="rId2"/>
    <sheet name="salt and enson 2017-18" sheetId="3" state="hidden" r:id="rId3"/>
    <sheet name="Band D" sheetId="2" r:id="rId4"/>
    <sheet name="Precepts by Parish x" sheetId="7" r:id="rId5"/>
  </sheets>
  <externalReferences>
    <externalReference r:id="rId6"/>
  </externalReferenc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4"/>
  <c r="Q43" i="7"/>
  <c r="R43" s="1"/>
  <c r="R42"/>
  <c r="Q42"/>
  <c r="Q41"/>
  <c r="R41" s="1"/>
  <c r="R40"/>
  <c r="Q40"/>
  <c r="Q39"/>
  <c r="R39" s="1"/>
  <c r="R38"/>
  <c r="Q38"/>
  <c r="Q37"/>
  <c r="R37" s="1"/>
  <c r="R36"/>
  <c r="Q36"/>
  <c r="Q35"/>
  <c r="R35" s="1"/>
  <c r="R34"/>
  <c r="Q34"/>
  <c r="Q33"/>
  <c r="R33" s="1"/>
  <c r="R32"/>
  <c r="Q32"/>
  <c r="Q31"/>
  <c r="R31" s="1"/>
  <c r="R30"/>
  <c r="Q30"/>
  <c r="Q29"/>
  <c r="R29" s="1"/>
  <c r="R28"/>
  <c r="Q28"/>
  <c r="Q27"/>
  <c r="R27" s="1"/>
  <c r="R26"/>
  <c r="Q26"/>
  <c r="Q25"/>
  <c r="R25" s="1"/>
  <c r="R24"/>
  <c r="Q24"/>
  <c r="Q23"/>
  <c r="R23" s="1"/>
  <c r="R22"/>
  <c r="Q22"/>
  <c r="Q21"/>
  <c r="R21" s="1"/>
  <c r="R20"/>
  <c r="Q20"/>
  <c r="Q19"/>
  <c r="R19" s="1"/>
  <c r="R18"/>
  <c r="Q18"/>
  <c r="Q17"/>
  <c r="R17" s="1"/>
  <c r="R16"/>
  <c r="Q16"/>
  <c r="Q15"/>
  <c r="R15" s="1"/>
  <c r="R14"/>
  <c r="Q14"/>
  <c r="Q13"/>
  <c r="R13" s="1"/>
  <c r="R12"/>
  <c r="Q12"/>
  <c r="Q11"/>
  <c r="R11" s="1"/>
  <c r="R10"/>
  <c r="Q10"/>
  <c r="Q9"/>
  <c r="R9" s="1"/>
  <c r="Q8"/>
  <c r="R7"/>
  <c r="Q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Q6"/>
  <c r="R6" s="1"/>
  <c r="A6"/>
  <c r="R5"/>
  <c r="Q5"/>
  <c r="F12" i="2" l="1"/>
  <c r="F16" s="1"/>
  <c r="I12" i="4" l="1"/>
  <c r="F6"/>
  <c r="I6"/>
  <c r="F33"/>
  <c r="G30"/>
  <c r="F21"/>
  <c r="F11"/>
  <c r="F10"/>
  <c r="F9"/>
  <c r="F8"/>
  <c r="E29"/>
  <c r="G63" l="1"/>
  <c r="G62"/>
  <c r="G61"/>
  <c r="I18" l="1"/>
  <c r="D16"/>
  <c r="D20"/>
  <c r="D26"/>
  <c r="D32"/>
  <c r="D37"/>
  <c r="D42"/>
  <c r="A37"/>
  <c r="A43" s="1"/>
  <c r="A45" s="1"/>
  <c r="D43" l="1"/>
  <c r="D45" s="1"/>
  <c r="K61" l="1"/>
  <c r="F4" i="1" l="1"/>
  <c r="D12" i="2"/>
  <c r="C12"/>
  <c r="C16" s="1"/>
  <c r="C20" s="1"/>
  <c r="D16" l="1"/>
  <c r="D20" s="1"/>
  <c r="I35" i="4" l="1"/>
  <c r="I64" l="1"/>
  <c r="I70" s="1"/>
  <c r="I42"/>
  <c r="I37"/>
  <c r="I32"/>
  <c r="I26"/>
  <c r="I20"/>
  <c r="G14" i="1"/>
  <c r="I10" i="4"/>
  <c r="I16" s="1"/>
  <c r="F32"/>
  <c r="E32"/>
  <c r="G29"/>
  <c r="G31"/>
  <c r="G12"/>
  <c r="G8"/>
  <c r="G44"/>
  <c r="G39"/>
  <c r="G40"/>
  <c r="G41"/>
  <c r="G38"/>
  <c r="G34"/>
  <c r="G35"/>
  <c r="G36"/>
  <c r="G33"/>
  <c r="G28"/>
  <c r="G27"/>
  <c r="G22"/>
  <c r="G23"/>
  <c r="G25"/>
  <c r="G18"/>
  <c r="G19"/>
  <c r="G17"/>
  <c r="G15"/>
  <c r="G14"/>
  <c r="G13"/>
  <c r="G11"/>
  <c r="G10"/>
  <c r="G9"/>
  <c r="G7"/>
  <c r="G6"/>
  <c r="E64"/>
  <c r="E70" s="1"/>
  <c r="F64"/>
  <c r="F70" s="1"/>
  <c r="G64"/>
  <c r="G70"/>
  <c r="D64"/>
  <c r="D70" s="1"/>
  <c r="F42"/>
  <c r="E42"/>
  <c r="F37"/>
  <c r="E37"/>
  <c r="F26"/>
  <c r="E26"/>
  <c r="F20"/>
  <c r="E20"/>
  <c r="F16"/>
  <c r="E16"/>
  <c r="B65"/>
  <c r="B36"/>
  <c r="B35"/>
  <c r="B34"/>
  <c r="B33"/>
  <c r="B28"/>
  <c r="B27"/>
  <c r="B25"/>
  <c r="B23"/>
  <c r="B22"/>
  <c r="B21"/>
  <c r="B19"/>
  <c r="B18"/>
  <c r="B17"/>
  <c r="B15"/>
  <c r="B14"/>
  <c r="B13"/>
  <c r="B12"/>
  <c r="B11"/>
  <c r="B10"/>
  <c r="B9"/>
  <c r="B8"/>
  <c r="B7"/>
  <c r="B6"/>
  <c r="G32" l="1"/>
  <c r="I43"/>
  <c r="I45" s="1"/>
  <c r="I73" s="1"/>
  <c r="G20"/>
  <c r="G42"/>
  <c r="G26"/>
  <c r="G16"/>
  <c r="G37"/>
  <c r="F43"/>
  <c r="F45" s="1"/>
  <c r="F73" s="1"/>
  <c r="E43"/>
  <c r="E45" s="1"/>
  <c r="E73" s="1"/>
  <c r="D73"/>
  <c r="G43" l="1"/>
  <c r="G45" s="1"/>
  <c r="G73" s="1"/>
  <c r="D8" i="3" l="1"/>
  <c r="D12" l="1"/>
  <c r="D16" s="1"/>
  <c r="F12"/>
  <c r="F16" s="1"/>
  <c r="C12"/>
  <c r="C16" s="1"/>
  <c r="C20" l="1"/>
  <c r="D20"/>
  <c r="F59" i="1"/>
  <c r="E64"/>
  <c r="A49"/>
  <c r="A47"/>
  <c r="A14"/>
  <c r="A13"/>
  <c r="A8"/>
  <c r="A5"/>
  <c r="A4"/>
  <c r="A59" l="1"/>
</calcChain>
</file>

<file path=xl/sharedStrings.xml><?xml version="1.0" encoding="utf-8"?>
<sst xmlns="http://schemas.openxmlformats.org/spreadsheetml/2006/main" count="283" uniqueCount="210">
  <si>
    <t>2014/15</t>
  </si>
  <si>
    <t>Administration</t>
  </si>
  <si>
    <t>Clerks Salary</t>
  </si>
  <si>
    <t>Office Expenses</t>
  </si>
  <si>
    <t>Phone</t>
  </si>
  <si>
    <t>Paper</t>
  </si>
  <si>
    <t>Say 2 x reams</t>
  </si>
  <si>
    <t>Printer Ink</t>
  </si>
  <si>
    <t>1 x blk, colour (£20)</t>
  </si>
  <si>
    <t>Stationary</t>
  </si>
  <si>
    <t>incl stamps</t>
  </si>
  <si>
    <t>Mileage</t>
  </si>
  <si>
    <t>Internal Audit/Chair Dels</t>
  </si>
  <si>
    <t>Councillors Expenses</t>
  </si>
  <si>
    <t>General</t>
  </si>
  <si>
    <t>Chairmans Allowance</t>
  </si>
  <si>
    <t>Room Hire</t>
  </si>
  <si>
    <t>£24/meet, 6 meetings pa plus budget 3 planning</t>
  </si>
  <si>
    <t>Training</t>
  </si>
  <si>
    <t>Councillors</t>
  </si>
  <si>
    <t>Est</t>
  </si>
  <si>
    <t>Clerk</t>
  </si>
  <si>
    <t>Subscriptions</t>
  </si>
  <si>
    <t>SPCA</t>
  </si>
  <si>
    <t>SLCC - Clerk</t>
  </si>
  <si>
    <t>Community Council</t>
  </si>
  <si>
    <t>Other</t>
  </si>
  <si>
    <t>Software Licenses</t>
  </si>
  <si>
    <t>Virus protection</t>
  </si>
  <si>
    <t>Annual</t>
  </si>
  <si>
    <t>1.10</t>
  </si>
  <si>
    <t>Web Management</t>
  </si>
  <si>
    <t>Statutory Requirements</t>
  </si>
  <si>
    <t>Audit Expenses</t>
  </si>
  <si>
    <t>Internal</t>
  </si>
  <si>
    <t>External</t>
  </si>
  <si>
    <t>Insurance</t>
  </si>
  <si>
    <t>Repairs/Asset Maintenance</t>
  </si>
  <si>
    <t>Parish Benches</t>
  </si>
  <si>
    <t>Parish noticeboards</t>
  </si>
  <si>
    <t>New in 2014 no maint</t>
  </si>
  <si>
    <t>Strimming</t>
  </si>
  <si>
    <t>Burial ground maintenance</t>
  </si>
  <si>
    <t>One off expenditure</t>
  </si>
  <si>
    <t>New noticeboards</t>
  </si>
  <si>
    <t>Net off income</t>
  </si>
  <si>
    <t>New laptop</t>
  </si>
  <si>
    <t>Miscelleanous</t>
  </si>
  <si>
    <t>5.1</t>
  </si>
  <si>
    <t>Amenity Visits</t>
  </si>
  <si>
    <t>Donations/Grants</t>
  </si>
  <si>
    <t>Village Hall</t>
  </si>
  <si>
    <t>Buy a brick/General donations</t>
  </si>
  <si>
    <t>Compass (50)/Friendship club (100)</t>
  </si>
  <si>
    <t>BKV Prizes</t>
  </si>
  <si>
    <t>Trf to reserves any unused</t>
  </si>
  <si>
    <t>Reserves</t>
  </si>
  <si>
    <t>Cost of election fund</t>
  </si>
  <si>
    <t>Computer fund (5 year cycle)</t>
  </si>
  <si>
    <t>Incl computer &amp; printer</t>
  </si>
  <si>
    <t>Rounding</t>
  </si>
  <si>
    <t>c/f</t>
  </si>
  <si>
    <t>Income</t>
  </si>
  <si>
    <t>Precept</t>
  </si>
  <si>
    <t>Concurrent</t>
  </si>
  <si>
    <t>Phone box adoption?</t>
  </si>
  <si>
    <t>General repairs (phonebox)</t>
  </si>
  <si>
    <t>Salt and Enson Parish Council Tax Charge - 2017/2018</t>
  </si>
  <si>
    <t>2017/2018</t>
  </si>
  <si>
    <t>2016/2017</t>
  </si>
  <si>
    <t>Parish Precept</t>
  </si>
  <si>
    <t>EXAMPLE</t>
  </si>
  <si>
    <t>SAME £ AS 16-17</t>
  </si>
  <si>
    <t>ACTUAL</t>
  </si>
  <si>
    <t>£</t>
  </si>
  <si>
    <t>Precept - amount to be paid to Parish</t>
  </si>
  <si>
    <t>Less Government Grant</t>
  </si>
  <si>
    <t>Amount to be charged to taxpayers</t>
  </si>
  <si>
    <t xml:space="preserve">Divided by the Tax Base </t>
  </si>
  <si>
    <t>Amount per Band D Property</t>
  </si>
  <si>
    <t>Percentage change to last year</t>
  </si>
  <si>
    <t>Increase / (Decrease)</t>
  </si>
  <si>
    <t xml:space="preserve"> </t>
  </si>
  <si>
    <t>Budget 2018-19</t>
  </si>
  <si>
    <t>Information Commissioner</t>
  </si>
  <si>
    <t>Data Protection Officer</t>
  </si>
  <si>
    <t>2018/19 Budget (Proposed)</t>
  </si>
  <si>
    <t>Plants for flowertower</t>
  </si>
  <si>
    <t>Devolution of highways works</t>
  </si>
  <si>
    <t>Do Councillors wish to put anything here?</t>
  </si>
  <si>
    <t>Data protection principles require registration</t>
  </si>
  <si>
    <t>Now full following transfer</t>
  </si>
  <si>
    <t>New Bench - Casey</t>
  </si>
  <si>
    <t>£350 plus fitting</t>
  </si>
  <si>
    <t>increase change of audit regime</t>
  </si>
  <si>
    <t>General reserves 3-12 months of precept</t>
  </si>
  <si>
    <t>Salt and Enson Parish Council Tax Charge</t>
  </si>
  <si>
    <t>2018/2019</t>
  </si>
  <si>
    <t>Salt and Enson</t>
  </si>
  <si>
    <t>Total General Admin</t>
  </si>
  <si>
    <t>Total Statutory Requirements</t>
  </si>
  <si>
    <t>Total Repairs/Asset Maint</t>
  </si>
  <si>
    <t>Total one off expenditure</t>
  </si>
  <si>
    <t>Total Miscellanous</t>
  </si>
  <si>
    <t>10.1 General Funds</t>
  </si>
  <si>
    <t>10.2 Contingency</t>
  </si>
  <si>
    <t>10.3 Capital Asset Fund</t>
  </si>
  <si>
    <t>10.4 Cost of Election Fund</t>
  </si>
  <si>
    <t>Total Reserves</t>
  </si>
  <si>
    <t>Net Totals</t>
  </si>
  <si>
    <t>VAT Paid</t>
  </si>
  <si>
    <t>Gross Total</t>
  </si>
  <si>
    <t>Budget</t>
  </si>
  <si>
    <t>Government Grant</t>
  </si>
  <si>
    <t>Concurrent Allowance</t>
  </si>
  <si>
    <t>Total council income</t>
  </si>
  <si>
    <t>Bank Interest</t>
  </si>
  <si>
    <t>Biffa Income</t>
  </si>
  <si>
    <t>Grants</t>
  </si>
  <si>
    <t>VAT Refunds</t>
  </si>
  <si>
    <t>Totals</t>
  </si>
  <si>
    <t>Actual</t>
  </si>
  <si>
    <t>2018/19</t>
  </si>
  <si>
    <t>Spend to Date</t>
  </si>
  <si>
    <t>To go</t>
  </si>
  <si>
    <t xml:space="preserve">Projected Total </t>
  </si>
  <si>
    <t>Proposed Budget</t>
  </si>
  <si>
    <t>2019/20</t>
  </si>
  <si>
    <t>Under/(Overspend)</t>
  </si>
  <si>
    <t>Village Map/noticeboard</t>
  </si>
  <si>
    <t>6 meetings @£24 plus 3 emergency @£8</t>
  </si>
  <si>
    <t>SPCA/SLCC</t>
  </si>
  <si>
    <t>Virus Protection</t>
  </si>
  <si>
    <t>Website annual fee</t>
  </si>
  <si>
    <t>Assuming 5% increase</t>
  </si>
  <si>
    <t>£82.55 previously, if contested can be more (use reserve)</t>
  </si>
  <si>
    <t xml:space="preserve">Income </t>
  </si>
  <si>
    <t>Compass £50, Friendship club £150, V hall £500 (as rate before roof works)</t>
  </si>
  <si>
    <t>2019/2020</t>
  </si>
  <si>
    <t>EXAMPLE USING 2018-19 PRECEPT</t>
  </si>
  <si>
    <t>Not required</t>
  </si>
  <si>
    <t>2019 Election Costs</t>
  </si>
  <si>
    <t>Highways/Village Works/projects</t>
  </si>
  <si>
    <t>Parish Name</t>
  </si>
  <si>
    <t>Type</t>
  </si>
  <si>
    <r>
      <t xml:space="preserve">Tax base for precept purposes </t>
    </r>
    <r>
      <rPr>
        <vertAlign val="superscript"/>
        <sz val="10"/>
        <rFont val="Arial"/>
        <family val="2"/>
      </rPr>
      <t>(b)</t>
    </r>
  </si>
  <si>
    <r>
      <t xml:space="preserve">Band D council tax (£) </t>
    </r>
    <r>
      <rPr>
        <vertAlign val="superscript"/>
        <sz val="10"/>
        <rFont val="Arial"/>
        <family val="2"/>
      </rPr>
      <t>(c)</t>
    </r>
  </si>
  <si>
    <r>
      <t>Band D council tax (£)</t>
    </r>
    <r>
      <rPr>
        <vertAlign val="superscript"/>
        <sz val="10"/>
        <rFont val="Arial"/>
        <family val="2"/>
      </rPr>
      <t xml:space="preserve"> (c) </t>
    </r>
  </si>
  <si>
    <t>Ellenhall</t>
  </si>
  <si>
    <t>Precepting parish</t>
  </si>
  <si>
    <t>Forton</t>
  </si>
  <si>
    <t>Adbaston</t>
  </si>
  <si>
    <t>Swynnerton</t>
  </si>
  <si>
    <t>Fradswell</t>
  </si>
  <si>
    <t>High Offley</t>
  </si>
  <si>
    <t>Milwich</t>
  </si>
  <si>
    <t>Doxey</t>
  </si>
  <si>
    <t>Whitgreave</t>
  </si>
  <si>
    <t>Seighford</t>
  </si>
  <si>
    <t>Tixall</t>
  </si>
  <si>
    <t>Church Eaton</t>
  </si>
  <si>
    <t>Stone Rural</t>
  </si>
  <si>
    <t>Norbury</t>
  </si>
  <si>
    <t>Brocton</t>
  </si>
  <si>
    <t>Hyde Lea</t>
  </si>
  <si>
    <t>Fulford</t>
  </si>
  <si>
    <t>Chebsey</t>
  </si>
  <si>
    <t>Ranton</t>
  </si>
  <si>
    <t>Ingestre</t>
  </si>
  <si>
    <t>Eccleshall</t>
  </si>
  <si>
    <t>Standon</t>
  </si>
  <si>
    <t>Creswell</t>
  </si>
  <si>
    <t>Hilderstone</t>
  </si>
  <si>
    <t>Berkswich</t>
  </si>
  <si>
    <t>Gnosall</t>
  </si>
  <si>
    <t>Bradley</t>
  </si>
  <si>
    <t>Gayton</t>
  </si>
  <si>
    <t>Hixon</t>
  </si>
  <si>
    <t>Hopton and Coton</t>
  </si>
  <si>
    <t>Haughton</t>
  </si>
  <si>
    <t>Stone (Town)</t>
  </si>
  <si>
    <t>Sandon and Burston</t>
  </si>
  <si>
    <t>Stowe-by-Chartley</t>
  </si>
  <si>
    <t>Weston</t>
  </si>
  <si>
    <t>Barlaston</t>
  </si>
  <si>
    <t>Colwich</t>
  </si>
  <si>
    <t>2020-21</t>
  </si>
  <si>
    <t>3% increase, 22 hours/mth</t>
  </si>
  <si>
    <t>New Clerk - potential Ilca, CiLCA</t>
  </si>
  <si>
    <t>To purchase clerk copy of Charles Arnold Baker (prev clerk used Creswell's copy)</t>
  </si>
  <si>
    <t>22 hours at SCP 21</t>
  </si>
  <si>
    <t xml:space="preserve">1/3 line rental </t>
  </si>
  <si>
    <t>This should be a flat rate per week as long as no more than £4/wk</t>
  </si>
  <si>
    <t>New noticeboard - Hollybush</t>
  </si>
  <si>
    <t>As agreed at Nov 19 meeting</t>
  </si>
  <si>
    <t>Speed Sign</t>
  </si>
  <si>
    <t>31.12.19</t>
  </si>
  <si>
    <t xml:space="preserve">PROPOSED </t>
  </si>
  <si>
    <t>Comparison of Council tax charged by Parish in Staffordshire</t>
  </si>
  <si>
    <t>Council tax data for local precepting authorities: 2018-19 and 2019-20 data</t>
  </si>
  <si>
    <r>
      <t xml:space="preserve">2018-19 </t>
    </r>
    <r>
      <rPr>
        <b/>
        <vertAlign val="superscript"/>
        <sz val="10"/>
        <rFont val="Arial"/>
        <family val="2"/>
      </rPr>
      <t>(d)</t>
    </r>
  </si>
  <si>
    <t>2019-20</t>
  </si>
  <si>
    <r>
      <t xml:space="preserve">Amount precepted on billing authority (£) </t>
    </r>
    <r>
      <rPr>
        <vertAlign val="superscript"/>
        <sz val="10"/>
        <rFont val="Arial"/>
        <family val="2"/>
      </rPr>
      <t>(a)</t>
    </r>
  </si>
  <si>
    <t>Increase/(decrease) from 2018/19 to 2019/20</t>
  </si>
  <si>
    <t>% change 2018/19 to 2019/20</t>
  </si>
  <si>
    <t>Yarnfield and Cold Meece</t>
  </si>
  <si>
    <t>N/A</t>
  </si>
  <si>
    <t>Parish split with Yarnfield (above) hence reduction</t>
  </si>
  <si>
    <t xml:space="preserve"> required due to SCC cuts or could be used for other projects in the village</t>
  </si>
  <si>
    <t xml:space="preserve">Clerks note - this money could be available for works 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</si>
</sst>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-* #,##0.00_-;\(* #,##0.00\);_-* &quot;-&quot;??_-;_-@_-"/>
    <numFmt numFmtId="165" formatCode="#,##0.00_ ;\-#,##0.00\ "/>
    <numFmt numFmtId="166" formatCode="0.0%"/>
    <numFmt numFmtId="167" formatCode="&quot;£&quot;#,##0.00"/>
    <numFmt numFmtId="168" formatCode="#,##0_ ;\-#,##0\ "/>
    <numFmt numFmtId="169" formatCode="#,##0.0"/>
  </numFmts>
  <fonts count="20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u/>
      <sz val="14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14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50">
    <xf numFmtId="0" fontId="0" fillId="0" borderId="0" xfId="0"/>
    <xf numFmtId="4" fontId="0" fillId="0" borderId="0" xfId="0" applyNumberFormat="1"/>
    <xf numFmtId="4" fontId="0" fillId="0" borderId="0" xfId="0" quotePrefix="1" applyNumberFormat="1" applyAlignment="1">
      <alignment wrapText="1"/>
    </xf>
    <xf numFmtId="4" fontId="0" fillId="0" borderId="1" xfId="0" applyNumberFormat="1" applyBorder="1"/>
    <xf numFmtId="0" fontId="3" fillId="0" borderId="0" xfId="1" applyFont="1"/>
    <xf numFmtId="0" fontId="4" fillId="0" borderId="0" xfId="1" applyFont="1"/>
    <xf numFmtId="43" fontId="3" fillId="0" borderId="0" xfId="2" applyFont="1"/>
    <xf numFmtId="43" fontId="3" fillId="0" borderId="0" xfId="2" applyFont="1" applyFill="1"/>
    <xf numFmtId="49" fontId="6" fillId="0" borderId="3" xfId="2" applyNumberFormat="1" applyFont="1" applyBorder="1" applyAlignment="1">
      <alignment horizontal="center"/>
    </xf>
    <xf numFmtId="49" fontId="6" fillId="0" borderId="0" xfId="2" applyNumberFormat="1" applyFont="1" applyFill="1" applyBorder="1"/>
    <xf numFmtId="43" fontId="6" fillId="0" borderId="0" xfId="2" applyFont="1" applyAlignment="1">
      <alignment horizontal="center" wrapText="1"/>
    </xf>
    <xf numFmtId="43" fontId="6" fillId="0" borderId="0" xfId="2" applyFont="1" applyFill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0" fontId="4" fillId="0" borderId="0" xfId="1" applyFont="1" applyFill="1"/>
    <xf numFmtId="0" fontId="3" fillId="0" borderId="0" xfId="1" applyFont="1" applyFill="1"/>
    <xf numFmtId="43" fontId="6" fillId="0" borderId="0" xfId="2" applyFont="1" applyAlignment="1">
      <alignment horizontal="center"/>
    </xf>
    <xf numFmtId="43" fontId="6" fillId="3" borderId="0" xfId="2" applyFont="1" applyFill="1"/>
    <xf numFmtId="164" fontId="3" fillId="0" borderId="0" xfId="2" applyNumberFormat="1" applyFont="1"/>
    <xf numFmtId="43" fontId="3" fillId="0" borderId="3" xfId="2" applyFont="1" applyBorder="1"/>
    <xf numFmtId="43" fontId="3" fillId="0" borderId="0" xfId="2" applyFont="1" applyBorder="1"/>
    <xf numFmtId="43" fontId="6" fillId="0" borderId="0" xfId="2" applyFont="1"/>
    <xf numFmtId="164" fontId="3" fillId="0" borderId="0" xfId="1" applyNumberFormat="1" applyFont="1"/>
    <xf numFmtId="43" fontId="3" fillId="0" borderId="0" xfId="1" applyNumberFormat="1" applyFont="1"/>
    <xf numFmtId="0" fontId="6" fillId="0" borderId="0" xfId="1" applyFont="1"/>
    <xf numFmtId="165" fontId="6" fillId="3" borderId="0" xfId="2" applyNumberFormat="1" applyFont="1" applyFill="1"/>
    <xf numFmtId="165" fontId="6" fillId="0" borderId="0" xfId="2" applyNumberFormat="1" applyFont="1"/>
    <xf numFmtId="166" fontId="3" fillId="0" borderId="0" xfId="1" applyNumberFormat="1" applyFont="1"/>
    <xf numFmtId="166" fontId="6" fillId="3" borderId="0" xfId="2" applyNumberFormat="1" applyFont="1" applyFill="1" applyAlignment="1">
      <alignment horizontal="center"/>
    </xf>
    <xf numFmtId="166" fontId="3" fillId="0" borderId="0" xfId="2" applyNumberFormat="1" applyFont="1" applyAlignment="1">
      <alignment horizontal="center"/>
    </xf>
    <xf numFmtId="166" fontId="6" fillId="0" borderId="0" xfId="2" applyNumberFormat="1" applyFont="1" applyFill="1" applyAlignment="1">
      <alignment horizontal="center"/>
    </xf>
    <xf numFmtId="4" fontId="7" fillId="0" borderId="0" xfId="0" applyNumberFormat="1" applyFont="1"/>
    <xf numFmtId="0" fontId="7" fillId="0" borderId="0" xfId="0" applyFont="1"/>
    <xf numFmtId="4" fontId="7" fillId="0" borderId="0" xfId="0" applyNumberFormat="1" applyFont="1" applyAlignment="1">
      <alignment wrapText="1"/>
    </xf>
    <xf numFmtId="4" fontId="7" fillId="0" borderId="1" xfId="0" applyNumberFormat="1" applyFont="1" applyBorder="1"/>
    <xf numFmtId="0" fontId="8" fillId="0" borderId="1" xfId="0" applyFont="1" applyBorder="1"/>
    <xf numFmtId="0" fontId="7" fillId="0" borderId="1" xfId="0" applyFont="1" applyBorder="1"/>
    <xf numFmtId="0" fontId="7" fillId="0" borderId="1" xfId="0" quotePrefix="1" applyFont="1" applyBorder="1" applyAlignment="1">
      <alignment horizontal="right"/>
    </xf>
    <xf numFmtId="4" fontId="7" fillId="2" borderId="1" xfId="0" applyNumberFormat="1" applyFont="1" applyFill="1" applyBorder="1"/>
    <xf numFmtId="0" fontId="7" fillId="2" borderId="1" xfId="0" applyFont="1" applyFill="1" applyBorder="1"/>
    <xf numFmtId="0" fontId="7" fillId="2" borderId="0" xfId="0" applyFont="1" applyFill="1"/>
    <xf numFmtId="0" fontId="7" fillId="0" borderId="1" xfId="0" applyFont="1" applyBorder="1" applyAlignment="1">
      <alignment horizontal="right"/>
    </xf>
    <xf numFmtId="0" fontId="7" fillId="0" borderId="2" xfId="0" applyFont="1" applyBorder="1"/>
    <xf numFmtId="9" fontId="7" fillId="0" borderId="0" xfId="0" applyNumberFormat="1" applyFont="1"/>
    <xf numFmtId="0" fontId="11" fillId="0" borderId="0" xfId="0" applyFont="1"/>
    <xf numFmtId="0" fontId="0" fillId="4" borderId="0" xfId="0" applyFill="1"/>
    <xf numFmtId="167" fontId="0" fillId="0" borderId="0" xfId="0" applyNumberFormat="1"/>
    <xf numFmtId="0" fontId="11" fillId="4" borderId="0" xfId="0" applyFont="1" applyFill="1"/>
    <xf numFmtId="167" fontId="11" fillId="4" borderId="0" xfId="0" applyNumberFormat="1" applyFont="1" applyFill="1"/>
    <xf numFmtId="0" fontId="0" fillId="5" borderId="0" xfId="0" applyFill="1"/>
    <xf numFmtId="0" fontId="11" fillId="5" borderId="0" xfId="0" applyFont="1" applyFill="1"/>
    <xf numFmtId="167" fontId="11" fillId="5" borderId="0" xfId="0" applyNumberFormat="1" applyFont="1" applyFill="1"/>
    <xf numFmtId="0" fontId="0" fillId="6" borderId="0" xfId="0" applyFill="1"/>
    <xf numFmtId="0" fontId="11" fillId="6" borderId="0" xfId="0" applyFont="1" applyFill="1"/>
    <xf numFmtId="167" fontId="11" fillId="6" borderId="0" xfId="0" applyNumberFormat="1" applyFont="1" applyFill="1"/>
    <xf numFmtId="0" fontId="0" fillId="7" borderId="0" xfId="0" applyFill="1"/>
    <xf numFmtId="0" fontId="11" fillId="7" borderId="0" xfId="0" applyFont="1" applyFill="1"/>
    <xf numFmtId="167" fontId="11" fillId="7" borderId="0" xfId="0" applyNumberFormat="1" applyFont="1" applyFill="1"/>
    <xf numFmtId="0" fontId="0" fillId="8" borderId="0" xfId="0" applyFill="1"/>
    <xf numFmtId="0" fontId="11" fillId="8" borderId="0" xfId="0" applyFont="1" applyFill="1"/>
    <xf numFmtId="167" fontId="11" fillId="8" borderId="0" xfId="0" applyNumberFormat="1" applyFont="1" applyFill="1"/>
    <xf numFmtId="0" fontId="0" fillId="9" borderId="0" xfId="0" applyFill="1"/>
    <xf numFmtId="0" fontId="11" fillId="9" borderId="0" xfId="0" applyFont="1" applyFill="1"/>
    <xf numFmtId="167" fontId="11" fillId="9" borderId="0" xfId="0" applyNumberFormat="1" applyFont="1" applyFill="1"/>
    <xf numFmtId="167" fontId="11" fillId="0" borderId="0" xfId="0" applyNumberFormat="1" applyFont="1"/>
    <xf numFmtId="0" fontId="11" fillId="10" borderId="0" xfId="0" applyFont="1" applyFill="1"/>
    <xf numFmtId="167" fontId="11" fillId="10" borderId="0" xfId="0" applyNumberFormat="1" applyFont="1" applyFill="1"/>
    <xf numFmtId="0" fontId="0" fillId="11" borderId="0" xfId="0" applyFill="1"/>
    <xf numFmtId="0" fontId="11" fillId="11" borderId="0" xfId="0" applyFont="1" applyFill="1"/>
    <xf numFmtId="167" fontId="11" fillId="11" borderId="0" xfId="0" applyNumberFormat="1" applyFont="1" applyFill="1"/>
    <xf numFmtId="0" fontId="12" fillId="12" borderId="0" xfId="0" applyFont="1" applyFill="1"/>
    <xf numFmtId="0" fontId="11" fillId="13" borderId="0" xfId="0" applyFont="1" applyFill="1"/>
    <xf numFmtId="167" fontId="10" fillId="0" borderId="0" xfId="0" applyNumberFormat="1" applyFont="1"/>
    <xf numFmtId="167" fontId="0" fillId="4" borderId="0" xfId="0" applyNumberFormat="1" applyFill="1"/>
    <xf numFmtId="167" fontId="0" fillId="5" borderId="0" xfId="0" applyNumberFormat="1" applyFill="1"/>
    <xf numFmtId="167" fontId="0" fillId="6" borderId="0" xfId="0" applyNumberFormat="1" applyFill="1"/>
    <xf numFmtId="167" fontId="0" fillId="7" borderId="0" xfId="0" applyNumberFormat="1" applyFill="1"/>
    <xf numFmtId="167" fontId="0" fillId="8" borderId="0" xfId="0" applyNumberFormat="1" applyFill="1"/>
    <xf numFmtId="167" fontId="0" fillId="9" borderId="0" xfId="0" applyNumberFormat="1" applyFill="1"/>
    <xf numFmtId="167" fontId="0" fillId="11" borderId="0" xfId="0" applyNumberFormat="1" applyFill="1"/>
    <xf numFmtId="167" fontId="12" fillId="12" borderId="0" xfId="0" applyNumberFormat="1" applyFont="1" applyFill="1"/>
    <xf numFmtId="167" fontId="11" fillId="13" borderId="0" xfId="0" applyNumberFormat="1" applyFont="1" applyFill="1"/>
    <xf numFmtId="0" fontId="13" fillId="2" borderId="0" xfId="0" applyFont="1" applyFill="1"/>
    <xf numFmtId="167" fontId="0" fillId="2" borderId="0" xfId="0" applyNumberFormat="1" applyFill="1"/>
    <xf numFmtId="0" fontId="4" fillId="0" borderId="0" xfId="0" applyFont="1"/>
    <xf numFmtId="43" fontId="3" fillId="0" borderId="0" xfId="3" applyFont="1"/>
    <xf numFmtId="43" fontId="3" fillId="0" borderId="0" xfId="3" applyFont="1" applyFill="1"/>
    <xf numFmtId="49" fontId="6" fillId="0" borderId="3" xfId="3" applyNumberFormat="1" applyFont="1" applyBorder="1" applyAlignment="1">
      <alignment horizontal="center"/>
    </xf>
    <xf numFmtId="49" fontId="6" fillId="0" borderId="0" xfId="3" applyNumberFormat="1" applyFont="1" applyFill="1" applyBorder="1"/>
    <xf numFmtId="43" fontId="6" fillId="0" borderId="0" xfId="3" applyFont="1" applyAlignment="1">
      <alignment horizontal="center" wrapText="1"/>
    </xf>
    <xf numFmtId="43" fontId="6" fillId="0" borderId="0" xfId="3" applyFont="1" applyFill="1" applyBorder="1" applyAlignment="1">
      <alignment horizontal="center" wrapText="1"/>
    </xf>
    <xf numFmtId="0" fontId="4" fillId="0" borderId="0" xfId="0" applyFont="1" applyFill="1"/>
    <xf numFmtId="43" fontId="3" fillId="2" borderId="0" xfId="3" applyFont="1" applyFill="1" applyAlignment="1">
      <alignment horizontal="center" wrapText="1"/>
    </xf>
    <xf numFmtId="43" fontId="3" fillId="2" borderId="0" xfId="3" applyFont="1" applyFill="1" applyAlignment="1">
      <alignment horizontal="center"/>
    </xf>
    <xf numFmtId="0" fontId="3" fillId="0" borderId="0" xfId="0" applyFont="1"/>
    <xf numFmtId="43" fontId="6" fillId="0" borderId="0" xfId="3" applyFont="1" applyAlignment="1">
      <alignment horizontal="center"/>
    </xf>
    <xf numFmtId="43" fontId="6" fillId="3" borderId="0" xfId="3" applyFont="1" applyFill="1"/>
    <xf numFmtId="164" fontId="3" fillId="0" borderId="0" xfId="3" applyNumberFormat="1" applyFont="1"/>
    <xf numFmtId="43" fontId="3" fillId="0" borderId="3" xfId="3" applyFont="1" applyBorder="1"/>
    <xf numFmtId="43" fontId="3" fillId="0" borderId="0" xfId="3" applyFont="1" applyBorder="1"/>
    <xf numFmtId="43" fontId="6" fillId="0" borderId="0" xfId="3" applyFont="1"/>
    <xf numFmtId="0" fontId="6" fillId="0" borderId="0" xfId="0" applyFont="1"/>
    <xf numFmtId="165" fontId="6" fillId="3" borderId="0" xfId="3" applyNumberFormat="1" applyFont="1" applyFill="1"/>
    <xf numFmtId="165" fontId="6" fillId="0" borderId="0" xfId="3" applyNumberFormat="1" applyFont="1"/>
    <xf numFmtId="166" fontId="6" fillId="3" borderId="0" xfId="3" applyNumberFormat="1" applyFont="1" applyFill="1" applyAlignment="1">
      <alignment horizontal="center"/>
    </xf>
    <xf numFmtId="166" fontId="3" fillId="0" borderId="0" xfId="3" applyNumberFormat="1" applyFont="1" applyAlignment="1">
      <alignment horizontal="center"/>
    </xf>
    <xf numFmtId="166" fontId="6" fillId="0" borderId="0" xfId="3" applyNumberFormat="1" applyFont="1" applyFill="1" applyAlignment="1">
      <alignment horizontal="center"/>
    </xf>
    <xf numFmtId="4" fontId="7" fillId="0" borderId="1" xfId="0" applyNumberFormat="1" applyFont="1" applyFill="1" applyBorder="1"/>
    <xf numFmtId="0" fontId="7" fillId="0" borderId="0" xfId="4"/>
    <xf numFmtId="0" fontId="0" fillId="14" borderId="4" xfId="5" applyFont="1" applyFill="1" applyBorder="1"/>
    <xf numFmtId="0" fontId="0" fillId="14" borderId="5" xfId="5" applyFont="1" applyFill="1" applyBorder="1"/>
    <xf numFmtId="0" fontId="15" fillId="15" borderId="6" xfId="5" applyFont="1" applyFill="1" applyBorder="1" applyAlignment="1">
      <alignment horizontal="center" wrapText="1"/>
    </xf>
    <xf numFmtId="168" fontId="14" fillId="15" borderId="0" xfId="6" applyNumberFormat="1" applyFont="1" applyFill="1" applyBorder="1"/>
    <xf numFmtId="4" fontId="7" fillId="15" borderId="6" xfId="4" applyNumberFormat="1" applyFill="1" applyBorder="1"/>
    <xf numFmtId="0" fontId="7" fillId="0" borderId="0" xfId="4" applyFill="1"/>
    <xf numFmtId="168" fontId="14" fillId="0" borderId="0" xfId="6" applyNumberFormat="1" applyFont="1" applyFill="1" applyBorder="1"/>
    <xf numFmtId="4" fontId="7" fillId="0" borderId="6" xfId="4" applyNumberFormat="1" applyFill="1" applyBorder="1"/>
    <xf numFmtId="0" fontId="18" fillId="0" borderId="0" xfId="0" applyFont="1"/>
    <xf numFmtId="43" fontId="0" fillId="0" borderId="0" xfId="0" applyNumberFormat="1"/>
    <xf numFmtId="10" fontId="0" fillId="0" borderId="0" xfId="8" applyNumberFormat="1" applyFont="1"/>
    <xf numFmtId="0" fontId="19" fillId="15" borderId="0" xfId="4" applyFont="1" applyFill="1"/>
    <xf numFmtId="0" fontId="0" fillId="14" borderId="7" xfId="5" applyFont="1" applyFill="1" applyBorder="1"/>
    <xf numFmtId="0" fontId="14" fillId="15" borderId="0" xfId="5" applyFill="1"/>
    <xf numFmtId="0" fontId="19" fillId="15" borderId="10" xfId="4" applyFont="1" applyFill="1" applyBorder="1"/>
    <xf numFmtId="0" fontId="14" fillId="16" borderId="0" xfId="5" applyFill="1" applyAlignment="1">
      <alignment vertical="center"/>
    </xf>
    <xf numFmtId="0" fontId="14" fillId="15" borderId="0" xfId="5" applyFill="1" applyAlignment="1">
      <alignment vertical="center"/>
    </xf>
    <xf numFmtId="2" fontId="14" fillId="16" borderId="0" xfId="5" applyNumberFormat="1" applyFill="1" applyAlignment="1">
      <alignment horizontal="right" vertical="center" wrapText="1"/>
    </xf>
    <xf numFmtId="2" fontId="14" fillId="16" borderId="6" xfId="5" applyNumberFormat="1" applyFill="1" applyBorder="1" applyAlignment="1">
      <alignment horizontal="right" vertical="center" wrapText="1"/>
    </xf>
    <xf numFmtId="2" fontId="14" fillId="16" borderId="11" xfId="5" applyNumberFormat="1" applyFill="1" applyBorder="1" applyAlignment="1">
      <alignment horizontal="right" vertical="center" wrapText="1"/>
    </xf>
    <xf numFmtId="0" fontId="7" fillId="15" borderId="0" xfId="4" applyFill="1"/>
    <xf numFmtId="169" fontId="7" fillId="15" borderId="0" xfId="4" applyNumberFormat="1" applyFill="1"/>
    <xf numFmtId="4" fontId="7" fillId="15" borderId="0" xfId="4" applyNumberFormat="1" applyFill="1"/>
    <xf numFmtId="3" fontId="7" fillId="15" borderId="0" xfId="4" applyNumberFormat="1" applyFill="1"/>
    <xf numFmtId="4" fontId="7" fillId="15" borderId="11" xfId="4" applyNumberFormat="1" applyFill="1" applyBorder="1"/>
    <xf numFmtId="9" fontId="0" fillId="15" borderId="11" xfId="7" applyFont="1" applyFill="1" applyBorder="1"/>
    <xf numFmtId="0" fontId="14" fillId="15" borderId="0" xfId="4" applyFont="1" applyFill="1"/>
    <xf numFmtId="0" fontId="7" fillId="2" borderId="0" xfId="4" applyFill="1"/>
    <xf numFmtId="168" fontId="14" fillId="2" borderId="0" xfId="6" applyNumberFormat="1" applyFont="1" applyFill="1" applyBorder="1"/>
    <xf numFmtId="169" fontId="7" fillId="2" borderId="0" xfId="4" applyNumberFormat="1" applyFill="1"/>
    <xf numFmtId="4" fontId="7" fillId="2" borderId="0" xfId="4" applyNumberFormat="1" applyFill="1"/>
    <xf numFmtId="4" fontId="7" fillId="2" borderId="6" xfId="4" applyNumberFormat="1" applyFill="1" applyBorder="1"/>
    <xf numFmtId="3" fontId="7" fillId="2" borderId="0" xfId="4" applyNumberFormat="1" applyFill="1"/>
    <xf numFmtId="169" fontId="7" fillId="0" borderId="0" xfId="4" applyNumberFormat="1" applyFill="1"/>
    <xf numFmtId="4" fontId="7" fillId="0" borderId="0" xfId="4" applyNumberFormat="1" applyFill="1"/>
    <xf numFmtId="3" fontId="7" fillId="0" borderId="0" xfId="4" applyNumberFormat="1" applyFill="1"/>
    <xf numFmtId="4" fontId="7" fillId="0" borderId="11" xfId="4" applyNumberFormat="1" applyFill="1" applyBorder="1"/>
    <xf numFmtId="4" fontId="7" fillId="2" borderId="11" xfId="4" applyNumberFormat="1" applyFill="1" applyBorder="1"/>
    <xf numFmtId="0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15" fillId="15" borderId="8" xfId="5" applyFont="1" applyFill="1" applyBorder="1" applyAlignment="1">
      <alignment horizontal="center" wrapText="1"/>
    </xf>
    <xf numFmtId="0" fontId="15" fillId="15" borderId="9" xfId="5" applyFont="1" applyFill="1" applyBorder="1" applyAlignment="1">
      <alignment horizontal="center" wrapText="1"/>
    </xf>
  </cellXfs>
  <cellStyles count="9">
    <cellStyle name="%" xfId="5"/>
    <cellStyle name="Comma" xfId="3" builtinId="3"/>
    <cellStyle name="Comma 2" xfId="2"/>
    <cellStyle name="Comma 3" xfId="6"/>
    <cellStyle name="Normal" xfId="0" builtinId="0"/>
    <cellStyle name="Normal 2" xfId="1"/>
    <cellStyle name="Normal 3" xfId="4"/>
    <cellStyle name="Percent" xfId="8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59</xdr:row>
      <xdr:rowOff>95250</xdr:rowOff>
    </xdr:from>
    <xdr:to>
      <xdr:col>6</xdr:col>
      <xdr:colOff>57151</xdr:colOff>
      <xdr:row>62</xdr:row>
      <xdr:rowOff>161925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rot="16200000" flipV="1">
          <a:off x="11463338" y="10482262"/>
          <a:ext cx="638175" cy="571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xey%20Clerk/Documents/Salt/2017-18/Accounts/Salt%20Accounts%202017-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nces"/>
      <sheetName val="Annual return"/>
      <sheetName val="Payments over £100"/>
      <sheetName val="Reserve AC"/>
      <sheetName val="Income"/>
      <sheetName val="Payments"/>
      <sheetName val="Detailed Summary"/>
      <sheetName val="Overview"/>
      <sheetName val="Bank Rec"/>
      <sheetName val="Reserves"/>
      <sheetName val="vs Budget"/>
    </sheetNames>
    <sheetDataSet>
      <sheetData sheetId="0"/>
      <sheetData sheetId="1"/>
      <sheetData sheetId="2"/>
      <sheetData sheetId="3"/>
      <sheetData sheetId="4">
        <row r="4">
          <cell r="I4" t="str">
            <v>Web ads</v>
          </cell>
        </row>
      </sheetData>
      <sheetData sheetId="5">
        <row r="3">
          <cell r="AC3" t="str">
            <v>One Off Expenditure</v>
          </cell>
        </row>
        <row r="4">
          <cell r="J4" t="str">
            <v>1.1 Clerks Salary</v>
          </cell>
          <cell r="K4" t="str">
            <v>1.2 PAYE</v>
          </cell>
          <cell r="L4" t="str">
            <v>1.3 Office Expenses</v>
          </cell>
          <cell r="M4" t="str">
            <v>1.4 Councillors Expenses</v>
          </cell>
          <cell r="N4" t="str">
            <v>1.5 Room Hire</v>
          </cell>
          <cell r="O4" t="str">
            <v>1.6 Training</v>
          </cell>
          <cell r="P4" t="str">
            <v>1.7 Subscriptions</v>
          </cell>
          <cell r="Q4" t="str">
            <v>1.8 Publishing</v>
          </cell>
          <cell r="R4" t="str">
            <v>1.9 Software Licenses</v>
          </cell>
          <cell r="S4" t="str">
            <v>1.10 Other</v>
          </cell>
          <cell r="T4" t="str">
            <v>2.1 Audit</v>
          </cell>
          <cell r="U4" t="str">
            <v>2.2 Insurance</v>
          </cell>
          <cell r="V4" t="str">
            <v>2.3 FOI/DPA</v>
          </cell>
          <cell r="X4" t="str">
            <v>3.2 Parish Benches</v>
          </cell>
          <cell r="Y4" t="str">
            <v>3.5 Strimming</v>
          </cell>
          <cell r="Z4" t="str">
            <v>3.6 Burial Ground Maintenance</v>
          </cell>
          <cell r="AA4" t="str">
            <v>3.7 General Repiars (Phonebox)</v>
          </cell>
          <cell r="AC4" t="str">
            <v>New Website</v>
          </cell>
          <cell r="AE4" t="str">
            <v>5.1 Miscellanous</v>
          </cell>
          <cell r="AF4" t="str">
            <v>5.2  Amenity visits</v>
          </cell>
          <cell r="AG4" t="str">
            <v>5.3 Donations</v>
          </cell>
          <cell r="AH4" t="str">
            <v>5.4 Election Costs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3"/>
  <sheetViews>
    <sheetView tabSelected="1" workbookViewId="0">
      <selection activeCell="I1" sqref="I1"/>
    </sheetView>
  </sheetViews>
  <sheetFormatPr defaultRowHeight="15"/>
  <cols>
    <col min="1" max="1" width="11.28515625" customWidth="1"/>
    <col min="2" max="2" width="30.85546875" bestFit="1" customWidth="1"/>
    <col min="3" max="3" width="3.28515625" customWidth="1"/>
    <col min="4" max="7" width="14.42578125" customWidth="1"/>
    <col min="8" max="8" width="3.28515625" customWidth="1"/>
    <col min="9" max="9" width="14.42578125" customWidth="1"/>
    <col min="16" max="16" width="29.42578125" bestFit="1" customWidth="1"/>
  </cols>
  <sheetData>
    <row r="1" spans="1:10" ht="15.75">
      <c r="A1" s="43" t="s">
        <v>98</v>
      </c>
    </row>
    <row r="2" spans="1:10" ht="15.75">
      <c r="A2" s="43"/>
    </row>
    <row r="3" spans="1:10">
      <c r="E3" t="s">
        <v>196</v>
      </c>
    </row>
    <row r="4" spans="1:10">
      <c r="A4" t="s">
        <v>121</v>
      </c>
      <c r="D4" t="s">
        <v>112</v>
      </c>
      <c r="E4" t="s">
        <v>123</v>
      </c>
      <c r="F4" t="s">
        <v>124</v>
      </c>
      <c r="G4" t="s">
        <v>125</v>
      </c>
      <c r="I4" t="s">
        <v>126</v>
      </c>
    </row>
    <row r="5" spans="1:10">
      <c r="A5" t="s">
        <v>122</v>
      </c>
      <c r="D5" t="s">
        <v>127</v>
      </c>
      <c r="E5" t="s">
        <v>127</v>
      </c>
      <c r="F5" t="s">
        <v>127</v>
      </c>
      <c r="G5" t="s">
        <v>127</v>
      </c>
      <c r="I5" t="s">
        <v>186</v>
      </c>
    </row>
    <row r="6" spans="1:10">
      <c r="A6" s="45">
        <v>1654.4300000000003</v>
      </c>
      <c r="B6" s="44" t="str">
        <f>+[1]Payments!J4</f>
        <v>1.1 Clerks Salary</v>
      </c>
      <c r="D6" s="72">
        <v>1568.09</v>
      </c>
      <c r="E6" s="72">
        <v>945.34999999999991</v>
      </c>
      <c r="F6" s="72">
        <f>+(506)+3*(17*10.16)</f>
        <v>1024.1599999999999</v>
      </c>
      <c r="G6" s="72">
        <f>+E6+F6</f>
        <v>1969.5099999999998</v>
      </c>
      <c r="I6" s="72">
        <f>+((22*12)*10.16)*1.03</f>
        <v>2762.7072000000003</v>
      </c>
      <c r="J6" t="s">
        <v>187</v>
      </c>
    </row>
    <row r="7" spans="1:10">
      <c r="A7" s="45">
        <v>0</v>
      </c>
      <c r="B7" s="44" t="str">
        <f>+[1]Payments!K4</f>
        <v>1.2 PAYE</v>
      </c>
      <c r="D7" s="72">
        <v>0</v>
      </c>
      <c r="E7" s="72">
        <v>0</v>
      </c>
      <c r="F7" s="72">
        <v>0</v>
      </c>
      <c r="G7" s="72">
        <f t="shared" ref="G7:G15" si="0">+E7+F7</f>
        <v>0</v>
      </c>
      <c r="I7" s="72">
        <v>0</v>
      </c>
    </row>
    <row r="8" spans="1:10">
      <c r="A8" s="45">
        <v>170.96</v>
      </c>
      <c r="B8" s="44" t="str">
        <f>+[1]Payments!L4</f>
        <v>1.3 Office Expenses</v>
      </c>
      <c r="D8" s="72">
        <v>250</v>
      </c>
      <c r="E8" s="72">
        <v>136.38</v>
      </c>
      <c r="F8" s="72">
        <f>250-136.38</f>
        <v>113.62</v>
      </c>
      <c r="G8" s="72">
        <f t="shared" si="0"/>
        <v>250</v>
      </c>
      <c r="I8" s="72">
        <v>350</v>
      </c>
    </row>
    <row r="9" spans="1:10">
      <c r="A9" s="45">
        <v>0</v>
      </c>
      <c r="B9" s="44" t="str">
        <f>+[1]Payments!M4</f>
        <v>1.4 Councillors Expenses</v>
      </c>
      <c r="D9" s="72">
        <v>200</v>
      </c>
      <c r="E9" s="72">
        <v>21.99</v>
      </c>
      <c r="F9" s="72">
        <f>200-21.99</f>
        <v>178.01</v>
      </c>
      <c r="G9" s="72">
        <f t="shared" si="0"/>
        <v>200</v>
      </c>
      <c r="I9" s="72">
        <v>200</v>
      </c>
    </row>
    <row r="10" spans="1:10">
      <c r="A10" s="45">
        <v>160</v>
      </c>
      <c r="B10" s="44" t="str">
        <f>+[1]Payments!N4</f>
        <v>1.5 Room Hire</v>
      </c>
      <c r="D10" s="72">
        <v>168</v>
      </c>
      <c r="E10" s="72">
        <v>72</v>
      </c>
      <c r="F10" s="72">
        <f>168-72</f>
        <v>96</v>
      </c>
      <c r="G10" s="72">
        <f t="shared" si="0"/>
        <v>168</v>
      </c>
      <c r="I10" s="72">
        <f>+(6*24)+(3*8)</f>
        <v>168</v>
      </c>
      <c r="J10" t="s">
        <v>130</v>
      </c>
    </row>
    <row r="11" spans="1:10">
      <c r="A11" s="45">
        <v>30.42</v>
      </c>
      <c r="B11" s="44" t="str">
        <f>+[1]Payments!O4</f>
        <v>1.6 Training</v>
      </c>
      <c r="D11" s="72">
        <v>500</v>
      </c>
      <c r="E11" s="72">
        <v>60</v>
      </c>
      <c r="F11" s="72">
        <f>500-60</f>
        <v>440</v>
      </c>
      <c r="G11" s="72">
        <f t="shared" si="0"/>
        <v>500</v>
      </c>
      <c r="I11" s="72">
        <v>500</v>
      </c>
      <c r="J11" t="s">
        <v>188</v>
      </c>
    </row>
    <row r="12" spans="1:10">
      <c r="A12" s="45">
        <v>159.35</v>
      </c>
      <c r="B12" s="44" t="str">
        <f>+[1]Payments!P4</f>
        <v>1.7 Subscriptions</v>
      </c>
      <c r="D12" s="72">
        <v>200</v>
      </c>
      <c r="E12" s="72">
        <v>128</v>
      </c>
      <c r="F12" s="72">
        <v>81</v>
      </c>
      <c r="G12" s="72">
        <f t="shared" si="0"/>
        <v>209</v>
      </c>
      <c r="I12" s="72">
        <f>(128+81)*1.03</f>
        <v>215.27</v>
      </c>
      <c r="J12" t="s">
        <v>131</v>
      </c>
    </row>
    <row r="13" spans="1:10">
      <c r="A13" s="45">
        <v>0</v>
      </c>
      <c r="B13" s="44" t="str">
        <f>+[1]Payments!Q4</f>
        <v>1.8 Publishing</v>
      </c>
      <c r="D13" s="72">
        <v>0</v>
      </c>
      <c r="E13" s="72">
        <v>0</v>
      </c>
      <c r="F13" s="72">
        <v>0</v>
      </c>
      <c r="G13" s="72">
        <f t="shared" si="0"/>
        <v>0</v>
      </c>
      <c r="I13" s="72">
        <v>0</v>
      </c>
    </row>
    <row r="14" spans="1:10">
      <c r="A14" s="45">
        <v>0</v>
      </c>
      <c r="B14" s="44" t="str">
        <f>+[1]Payments!R4</f>
        <v>1.9 Software Licenses</v>
      </c>
      <c r="D14" s="72">
        <v>50</v>
      </c>
      <c r="E14" s="72">
        <v>0</v>
      </c>
      <c r="F14" s="72">
        <v>50</v>
      </c>
      <c r="G14" s="72">
        <f t="shared" si="0"/>
        <v>50</v>
      </c>
      <c r="I14" s="72">
        <v>50</v>
      </c>
      <c r="J14" t="s">
        <v>132</v>
      </c>
    </row>
    <row r="15" spans="1:10">
      <c r="A15" s="45">
        <v>125</v>
      </c>
      <c r="B15" s="44" t="str">
        <f>+[1]Payments!S4</f>
        <v>1.10 Other</v>
      </c>
      <c r="D15" s="72">
        <v>120</v>
      </c>
      <c r="E15" s="72">
        <v>0</v>
      </c>
      <c r="F15" s="72">
        <v>125</v>
      </c>
      <c r="G15" s="72">
        <f t="shared" si="0"/>
        <v>125</v>
      </c>
      <c r="I15" s="72">
        <v>125</v>
      </c>
      <c r="J15" t="s">
        <v>133</v>
      </c>
    </row>
    <row r="16" spans="1:10" ht="15.75">
      <c r="A16" s="47">
        <v>2300.1600000000003</v>
      </c>
      <c r="B16" s="46" t="s">
        <v>99</v>
      </c>
      <c r="D16" s="47">
        <f t="shared" ref="D16:I16" si="1">SUM(D6:D15)</f>
        <v>3056.09</v>
      </c>
      <c r="E16" s="47">
        <f t="shared" si="1"/>
        <v>1363.72</v>
      </c>
      <c r="F16" s="47">
        <f t="shared" si="1"/>
        <v>2107.79</v>
      </c>
      <c r="G16" s="47">
        <f t="shared" si="1"/>
        <v>3471.5099999999998</v>
      </c>
      <c r="I16" s="47">
        <f t="shared" si="1"/>
        <v>4370.9772000000003</v>
      </c>
    </row>
    <row r="17" spans="1:10">
      <c r="A17" s="45">
        <v>37.5</v>
      </c>
      <c r="B17" s="48" t="str">
        <f>+[1]Payments!T4</f>
        <v>2.1 Audit</v>
      </c>
      <c r="D17" s="73">
        <v>37.5</v>
      </c>
      <c r="E17" s="73">
        <v>37.5</v>
      </c>
      <c r="F17" s="73">
        <v>0</v>
      </c>
      <c r="G17" s="73">
        <f>+E17+F17</f>
        <v>37.5</v>
      </c>
      <c r="I17" s="73">
        <v>50</v>
      </c>
    </row>
    <row r="18" spans="1:10">
      <c r="A18" s="45">
        <v>363.98</v>
      </c>
      <c r="B18" s="48" t="str">
        <f>+[1]Payments!U4</f>
        <v>2.2 Insurance</v>
      </c>
      <c r="D18" s="73">
        <v>382.18</v>
      </c>
      <c r="E18" s="73">
        <v>365.11</v>
      </c>
      <c r="F18" s="73">
        <v>0</v>
      </c>
      <c r="G18" s="73">
        <f t="shared" ref="G18:G19" si="2">+E18+F18</f>
        <v>365.11</v>
      </c>
      <c r="I18" s="73">
        <f>365.11*1.05</f>
        <v>383.36550000000005</v>
      </c>
      <c r="J18" t="s">
        <v>134</v>
      </c>
    </row>
    <row r="19" spans="1:10">
      <c r="A19" s="45">
        <v>35</v>
      </c>
      <c r="B19" s="48" t="str">
        <f>+[1]Payments!V4</f>
        <v>2.3 FOI/DPA</v>
      </c>
      <c r="D19" s="73">
        <v>35</v>
      </c>
      <c r="E19" s="73">
        <v>0</v>
      </c>
      <c r="F19" s="73">
        <v>35</v>
      </c>
      <c r="G19" s="73">
        <f t="shared" si="2"/>
        <v>35</v>
      </c>
      <c r="I19" s="73">
        <v>35</v>
      </c>
    </row>
    <row r="20" spans="1:10" ht="15.75">
      <c r="A20" s="50">
        <v>436.48</v>
      </c>
      <c r="B20" s="49" t="s">
        <v>100</v>
      </c>
      <c r="D20" s="50">
        <f t="shared" ref="D20:I20" si="3">SUM(D17:D19)</f>
        <v>454.68</v>
      </c>
      <c r="E20" s="50">
        <f t="shared" si="3"/>
        <v>402.61</v>
      </c>
      <c r="F20" s="50">
        <f t="shared" si="3"/>
        <v>35</v>
      </c>
      <c r="G20" s="50">
        <f t="shared" si="3"/>
        <v>437.61</v>
      </c>
      <c r="I20" s="50">
        <f t="shared" si="3"/>
        <v>468.36550000000005</v>
      </c>
    </row>
    <row r="21" spans="1:10">
      <c r="A21" s="45">
        <v>0</v>
      </c>
      <c r="B21" s="51" t="str">
        <f>+[1]Payments!X4</f>
        <v>3.2 Parish Benches</v>
      </c>
      <c r="D21" s="74">
        <v>100</v>
      </c>
      <c r="E21" s="74">
        <v>45</v>
      </c>
      <c r="F21" s="74">
        <f>100-45</f>
        <v>55</v>
      </c>
      <c r="G21" s="74">
        <v>11.64</v>
      </c>
      <c r="I21" s="74">
        <v>100</v>
      </c>
    </row>
    <row r="22" spans="1:10">
      <c r="A22" s="45">
        <v>11.64</v>
      </c>
      <c r="B22" s="51" t="str">
        <f>+[1]Payments!Y4</f>
        <v>3.5 Strimming</v>
      </c>
      <c r="D22" s="74">
        <v>100</v>
      </c>
      <c r="E22" s="74">
        <v>80</v>
      </c>
      <c r="F22" s="74">
        <v>0</v>
      </c>
      <c r="G22" s="74">
        <f t="shared" ref="G22:G25" si="4">+E22+F22</f>
        <v>80</v>
      </c>
      <c r="I22" s="74">
        <v>100</v>
      </c>
    </row>
    <row r="23" spans="1:10">
      <c r="A23" s="45">
        <v>80</v>
      </c>
      <c r="B23" s="51" t="str">
        <f>+[1]Payments!Z4</f>
        <v>3.6 Burial Ground Maintenance</v>
      </c>
      <c r="D23" s="74">
        <v>400</v>
      </c>
      <c r="E23" s="74">
        <v>0</v>
      </c>
      <c r="F23" s="74">
        <v>400</v>
      </c>
      <c r="G23" s="74">
        <f t="shared" si="4"/>
        <v>400</v>
      </c>
      <c r="I23" s="74">
        <v>500</v>
      </c>
      <c r="J23" t="s">
        <v>194</v>
      </c>
    </row>
    <row r="24" spans="1:10">
      <c r="A24" s="45">
        <v>400</v>
      </c>
      <c r="B24" s="81" t="s">
        <v>142</v>
      </c>
      <c r="D24" s="74">
        <v>1500</v>
      </c>
      <c r="E24" s="74"/>
      <c r="F24" s="74">
        <v>1500</v>
      </c>
      <c r="G24" s="74"/>
      <c r="I24" s="82">
        <v>500</v>
      </c>
      <c r="J24" s="116" t="s">
        <v>209</v>
      </c>
    </row>
    <row r="25" spans="1:10">
      <c r="A25" s="45">
        <v>208.41000000000003</v>
      </c>
      <c r="B25" s="51" t="str">
        <f>+[1]Payments!AA4</f>
        <v>3.7 General Repiars (Phonebox)</v>
      </c>
      <c r="D25" s="74">
        <v>250</v>
      </c>
      <c r="E25" s="74">
        <v>0</v>
      </c>
      <c r="F25" s="74">
        <v>0</v>
      </c>
      <c r="G25" s="74">
        <f t="shared" si="4"/>
        <v>0</v>
      </c>
      <c r="I25" s="74">
        <v>0</v>
      </c>
      <c r="J25" s="116" t="s">
        <v>208</v>
      </c>
    </row>
    <row r="26" spans="1:10" ht="15.75">
      <c r="A26" s="53">
        <v>700.05</v>
      </c>
      <c r="B26" s="52" t="s">
        <v>101</v>
      </c>
      <c r="D26" s="53">
        <f>SUM(D21:D25)</f>
        <v>2350</v>
      </c>
      <c r="E26" s="53">
        <f>SUM(E21:E25)</f>
        <v>125</v>
      </c>
      <c r="F26" s="53">
        <f>SUM(F21:F25)</f>
        <v>1955</v>
      </c>
      <c r="G26" s="53">
        <f>SUM(G21:G25)</f>
        <v>491.64</v>
      </c>
      <c r="I26" s="53">
        <f>SUM(I21:I25)</f>
        <v>1200</v>
      </c>
    </row>
    <row r="27" spans="1:10">
      <c r="A27" s="45">
        <v>0</v>
      </c>
      <c r="B27" s="54" t="str">
        <f>+[1]Payments!AC3</f>
        <v>One Off Expenditure</v>
      </c>
      <c r="D27" s="75">
        <v>500</v>
      </c>
      <c r="E27" s="75"/>
      <c r="F27" s="75">
        <v>0</v>
      </c>
      <c r="G27" s="75">
        <f>+E27+F27</f>
        <v>0</v>
      </c>
      <c r="I27" s="75">
        <v>0</v>
      </c>
      <c r="J27" s="116"/>
    </row>
    <row r="28" spans="1:10">
      <c r="A28" s="45">
        <v>0</v>
      </c>
      <c r="B28" s="54" t="str">
        <f>+[1]Payments!AC4</f>
        <v>New Website</v>
      </c>
      <c r="D28" s="75"/>
      <c r="E28" s="75"/>
      <c r="F28" s="75"/>
      <c r="G28" s="75">
        <f>+E28+F28</f>
        <v>0</v>
      </c>
      <c r="I28" s="75"/>
    </row>
    <row r="29" spans="1:10">
      <c r="A29" s="45">
        <v>0</v>
      </c>
      <c r="B29" s="54" t="s">
        <v>129</v>
      </c>
      <c r="D29" s="75"/>
      <c r="E29" s="75">
        <f>175+739</f>
        <v>914</v>
      </c>
      <c r="F29" s="75"/>
      <c r="G29" s="75">
        <f>+E29+F29</f>
        <v>914</v>
      </c>
      <c r="I29" s="75"/>
    </row>
    <row r="30" spans="1:10">
      <c r="A30" s="45"/>
      <c r="B30" s="54" t="s">
        <v>195</v>
      </c>
      <c r="D30" s="75"/>
      <c r="E30" s="75">
        <v>919.34</v>
      </c>
      <c r="F30" s="75">
        <v>1889</v>
      </c>
      <c r="G30" s="75">
        <f>+E30+F30</f>
        <v>2808.34</v>
      </c>
      <c r="I30" s="75"/>
    </row>
    <row r="31" spans="1:10">
      <c r="A31" s="45">
        <v>0</v>
      </c>
      <c r="B31" s="54" t="s">
        <v>193</v>
      </c>
      <c r="D31" s="75"/>
      <c r="E31" s="75"/>
      <c r="F31" s="75"/>
      <c r="G31" s="75">
        <f>+E31+F31</f>
        <v>0</v>
      </c>
      <c r="I31" s="75">
        <v>600</v>
      </c>
      <c r="J31" t="s">
        <v>194</v>
      </c>
    </row>
    <row r="32" spans="1:10" ht="15.75">
      <c r="A32" s="56">
        <v>0</v>
      </c>
      <c r="B32" s="55" t="s">
        <v>102</v>
      </c>
      <c r="D32" s="56">
        <f t="shared" ref="D32:F32" si="5">SUM(D27:D31)</f>
        <v>500</v>
      </c>
      <c r="E32" s="56">
        <f t="shared" si="5"/>
        <v>1833.3400000000001</v>
      </c>
      <c r="F32" s="56">
        <f t="shared" si="5"/>
        <v>1889</v>
      </c>
      <c r="G32" s="56">
        <f>SUM(G27:G31)</f>
        <v>3722.34</v>
      </c>
      <c r="I32" s="56">
        <f>SUM(I27:I31)</f>
        <v>600</v>
      </c>
    </row>
    <row r="33" spans="1:10">
      <c r="A33" s="45">
        <v>20</v>
      </c>
      <c r="B33" s="57" t="str">
        <f>+[1]Payments!AE4</f>
        <v>5.1 Miscellanous</v>
      </c>
      <c r="D33" s="76">
        <v>50</v>
      </c>
      <c r="E33" s="76">
        <v>5.21</v>
      </c>
      <c r="F33" s="76">
        <f>50-5.21</f>
        <v>44.79</v>
      </c>
      <c r="G33" s="76">
        <f>+E33+F33</f>
        <v>50</v>
      </c>
      <c r="I33" s="76">
        <v>103.99</v>
      </c>
      <c r="J33" t="s">
        <v>189</v>
      </c>
    </row>
    <row r="34" spans="1:10">
      <c r="A34" s="45">
        <v>158.33000000000001</v>
      </c>
      <c r="B34" s="57" t="str">
        <f>+[1]Payments!AF4</f>
        <v>5.2  Amenity visits</v>
      </c>
      <c r="D34" s="76">
        <v>200</v>
      </c>
      <c r="E34" s="76">
        <v>163.33000000000001</v>
      </c>
      <c r="F34" s="76">
        <v>0</v>
      </c>
      <c r="G34" s="76">
        <f t="shared" ref="G34:G36" si="6">+E34+F34</f>
        <v>163.33000000000001</v>
      </c>
      <c r="I34" s="76">
        <v>200</v>
      </c>
    </row>
    <row r="35" spans="1:10">
      <c r="A35" s="45">
        <v>1100</v>
      </c>
      <c r="B35" s="57" t="str">
        <f>+[1]Payments!AG4</f>
        <v>5.3 Donations</v>
      </c>
      <c r="D35" s="76">
        <v>700</v>
      </c>
      <c r="E35" s="76">
        <v>0</v>
      </c>
      <c r="F35" s="76">
        <v>700</v>
      </c>
      <c r="G35" s="76">
        <f t="shared" si="6"/>
        <v>700</v>
      </c>
      <c r="I35" s="76">
        <f>500+50+150</f>
        <v>700</v>
      </c>
      <c r="J35" t="s">
        <v>137</v>
      </c>
    </row>
    <row r="36" spans="1:10">
      <c r="A36" s="45">
        <v>0</v>
      </c>
      <c r="B36" s="57" t="str">
        <f>+[1]Payments!AH4</f>
        <v>5.4 Election Costs</v>
      </c>
      <c r="D36" s="76">
        <v>100</v>
      </c>
      <c r="E36" s="76"/>
      <c r="F36" s="76">
        <v>100</v>
      </c>
      <c r="G36" s="76">
        <f t="shared" si="6"/>
        <v>100</v>
      </c>
      <c r="I36" s="76">
        <v>0</v>
      </c>
      <c r="J36" t="s">
        <v>135</v>
      </c>
    </row>
    <row r="37" spans="1:10" ht="15.75">
      <c r="A37" s="59">
        <f t="shared" ref="A37" si="7">SUM(A33:A36)</f>
        <v>1278.33</v>
      </c>
      <c r="B37" s="58" t="s">
        <v>103</v>
      </c>
      <c r="D37" s="59">
        <f t="shared" ref="D37:I37" si="8">SUM(D33:D36)</f>
        <v>1050</v>
      </c>
      <c r="E37" s="59">
        <f t="shared" si="8"/>
        <v>168.54000000000002</v>
      </c>
      <c r="F37" s="59">
        <f t="shared" si="8"/>
        <v>844.79</v>
      </c>
      <c r="G37" s="59">
        <f t="shared" si="8"/>
        <v>1013.33</v>
      </c>
      <c r="I37" s="59">
        <f t="shared" si="8"/>
        <v>1003.99</v>
      </c>
    </row>
    <row r="38" spans="1:10">
      <c r="A38" s="45">
        <v>300</v>
      </c>
      <c r="B38" s="60" t="s">
        <v>104</v>
      </c>
      <c r="D38" s="77">
        <v>300</v>
      </c>
      <c r="E38" s="77">
        <v>300</v>
      </c>
      <c r="F38" s="77">
        <v>0</v>
      </c>
      <c r="G38" s="77">
        <f>+E38+F38</f>
        <v>300</v>
      </c>
      <c r="I38" s="77">
        <v>300</v>
      </c>
    </row>
    <row r="39" spans="1:10">
      <c r="A39" s="45">
        <v>0</v>
      </c>
      <c r="B39" s="60" t="s">
        <v>105</v>
      </c>
      <c r="D39" s="77">
        <v>0</v>
      </c>
      <c r="E39" s="77">
        <v>0</v>
      </c>
      <c r="F39" s="77">
        <v>0</v>
      </c>
      <c r="G39" s="77">
        <f t="shared" ref="G39:G41" si="9">+E39+F39</f>
        <v>0</v>
      </c>
      <c r="I39" s="77"/>
    </row>
    <row r="40" spans="1:10">
      <c r="A40" s="45">
        <v>80</v>
      </c>
      <c r="B40" s="60" t="s">
        <v>106</v>
      </c>
      <c r="D40" s="77">
        <v>80</v>
      </c>
      <c r="E40" s="77">
        <v>80</v>
      </c>
      <c r="F40" s="77">
        <v>0</v>
      </c>
      <c r="G40" s="77">
        <f t="shared" si="9"/>
        <v>80</v>
      </c>
      <c r="I40" s="77">
        <v>80</v>
      </c>
    </row>
    <row r="41" spans="1:10">
      <c r="A41" s="45">
        <v>0</v>
      </c>
      <c r="B41" s="60" t="s">
        <v>107</v>
      </c>
      <c r="D41" s="77">
        <v>0</v>
      </c>
      <c r="E41" s="77">
        <v>0</v>
      </c>
      <c r="F41" s="77">
        <v>0</v>
      </c>
      <c r="G41" s="77">
        <f t="shared" si="9"/>
        <v>0</v>
      </c>
      <c r="I41" s="77">
        <v>0</v>
      </c>
    </row>
    <row r="42" spans="1:10" ht="15.75">
      <c r="A42" s="62">
        <v>380</v>
      </c>
      <c r="B42" s="61" t="s">
        <v>108</v>
      </c>
      <c r="D42" s="62">
        <f t="shared" ref="D42:I42" si="10">SUM(D38:D41)</f>
        <v>380</v>
      </c>
      <c r="E42" s="62">
        <f t="shared" si="10"/>
        <v>380</v>
      </c>
      <c r="F42" s="62">
        <f t="shared" si="10"/>
        <v>0</v>
      </c>
      <c r="G42" s="62">
        <f t="shared" si="10"/>
        <v>380</v>
      </c>
      <c r="I42" s="62">
        <f t="shared" si="10"/>
        <v>380</v>
      </c>
    </row>
    <row r="43" spans="1:10" ht="15.75">
      <c r="A43" s="71">
        <f>+A16+A20+A26+A32+A37+A42</f>
        <v>5095.0200000000004</v>
      </c>
      <c r="B43" s="43" t="s">
        <v>109</v>
      </c>
      <c r="D43" s="71">
        <f>+D16+D20+D26+D32+D37+D42</f>
        <v>7790.77</v>
      </c>
      <c r="E43" s="71">
        <f>+E16+E20+E26+E32+E37+E42</f>
        <v>4273.21</v>
      </c>
      <c r="F43" s="71">
        <f>+F16+F20+F26+F32+F37+F42</f>
        <v>6831.58</v>
      </c>
      <c r="G43" s="71">
        <f>+G16+G20+G26+G32+G37+G42</f>
        <v>9516.43</v>
      </c>
      <c r="I43" s="71">
        <f>+I16+I20+I26+I32+I37+I42</f>
        <v>8023.3326999999999</v>
      </c>
    </row>
    <row r="44" spans="1:10" ht="15.75">
      <c r="A44" s="45">
        <v>111.22</v>
      </c>
      <c r="B44" s="64" t="s">
        <v>110</v>
      </c>
      <c r="D44" s="65"/>
      <c r="E44" s="65">
        <v>384.39</v>
      </c>
      <c r="F44" s="65"/>
      <c r="G44" s="65">
        <f>+E44+F44</f>
        <v>384.39</v>
      </c>
      <c r="I44" s="65"/>
    </row>
    <row r="45" spans="1:10">
      <c r="A45" s="71">
        <f t="shared" ref="A45" si="11">+A43+A44</f>
        <v>5206.2400000000007</v>
      </c>
      <c r="B45" t="s">
        <v>111</v>
      </c>
      <c r="D45" s="71">
        <f t="shared" ref="D45:I45" si="12">+D43+D44</f>
        <v>7790.77</v>
      </c>
      <c r="E45" s="71">
        <f t="shared" si="12"/>
        <v>4657.6000000000004</v>
      </c>
      <c r="F45" s="71">
        <f t="shared" si="12"/>
        <v>6831.58</v>
      </c>
      <c r="G45" s="71">
        <f t="shared" si="12"/>
        <v>9900.82</v>
      </c>
      <c r="I45" s="71">
        <f t="shared" si="12"/>
        <v>8023.3326999999999</v>
      </c>
    </row>
    <row r="46" spans="1:10">
      <c r="A46" s="71"/>
      <c r="D46" s="71"/>
      <c r="E46" s="71"/>
      <c r="F46" s="71"/>
      <c r="G46" s="71"/>
      <c r="I46" s="71"/>
    </row>
    <row r="47" spans="1:10">
      <c r="A47" s="71"/>
      <c r="D47" s="71"/>
      <c r="E47" s="71"/>
      <c r="F47" s="71"/>
      <c r="G47" s="71"/>
      <c r="I47" s="71"/>
    </row>
    <row r="48" spans="1:10">
      <c r="A48" s="71"/>
      <c r="D48" s="71"/>
      <c r="E48" s="71"/>
      <c r="F48" s="71"/>
      <c r="G48" s="71"/>
      <c r="I48" s="71"/>
    </row>
    <row r="49" spans="1:11">
      <c r="A49" s="71"/>
      <c r="D49" s="71"/>
      <c r="E49" s="71"/>
      <c r="F49" s="71"/>
      <c r="G49" s="71"/>
      <c r="I49" s="71"/>
    </row>
    <row r="50" spans="1:11">
      <c r="A50" s="71"/>
      <c r="D50" s="71"/>
      <c r="E50" s="71"/>
      <c r="F50" s="71"/>
      <c r="G50" s="71"/>
      <c r="I50" s="71"/>
    </row>
    <row r="51" spans="1:11">
      <c r="A51" s="71"/>
      <c r="D51" s="71"/>
      <c r="E51" s="71"/>
      <c r="F51" s="71"/>
      <c r="G51" s="71"/>
      <c r="I51" s="71"/>
    </row>
    <row r="52" spans="1:11">
      <c r="A52" s="71"/>
      <c r="D52" s="71"/>
      <c r="E52" s="71"/>
      <c r="F52" s="71"/>
      <c r="G52" s="71"/>
      <c r="I52" s="71"/>
    </row>
    <row r="53" spans="1:11">
      <c r="A53" s="71"/>
      <c r="D53" s="71"/>
      <c r="E53" s="71"/>
      <c r="F53" s="71"/>
      <c r="G53" s="71"/>
      <c r="I53" s="71"/>
    </row>
    <row r="54" spans="1:11">
      <c r="A54" s="71"/>
      <c r="D54" s="71"/>
      <c r="E54" s="71"/>
      <c r="F54" s="71"/>
      <c r="G54" s="71"/>
      <c r="I54" s="71"/>
    </row>
    <row r="55" spans="1:11">
      <c r="A55" s="71"/>
      <c r="D55" s="71"/>
      <c r="E55" s="71"/>
      <c r="F55" s="71"/>
      <c r="G55" s="71"/>
      <c r="I55" s="71"/>
    </row>
    <row r="56" spans="1:11">
      <c r="A56" s="71"/>
      <c r="D56" s="71"/>
      <c r="E56" s="71"/>
      <c r="F56" s="71"/>
      <c r="G56" s="71"/>
      <c r="I56" s="71"/>
    </row>
    <row r="57" spans="1:11">
      <c r="A57" s="71"/>
      <c r="D57" s="71"/>
      <c r="E57" s="71"/>
      <c r="F57" s="71"/>
      <c r="G57" s="71"/>
      <c r="I57" s="71"/>
    </row>
    <row r="58" spans="1:11" ht="15.75">
      <c r="B58" s="43"/>
      <c r="D58" s="63"/>
      <c r="E58" s="63"/>
      <c r="F58" s="63"/>
      <c r="G58" s="63"/>
      <c r="I58" s="63"/>
    </row>
    <row r="59" spans="1:11" ht="15.75">
      <c r="A59" s="43" t="s">
        <v>136</v>
      </c>
      <c r="B59" s="43"/>
      <c r="D59" s="63"/>
      <c r="E59" s="63"/>
      <c r="F59" s="63"/>
      <c r="G59" s="63"/>
      <c r="I59" s="63"/>
    </row>
    <row r="60" spans="1:11" ht="15.75">
      <c r="A60" s="43"/>
      <c r="B60" s="43"/>
      <c r="D60" s="63"/>
      <c r="E60" s="63"/>
      <c r="F60" s="63"/>
      <c r="G60" s="63"/>
      <c r="I60" s="63"/>
    </row>
    <row r="61" spans="1:11">
      <c r="B61" s="66" t="s">
        <v>63</v>
      </c>
      <c r="D61" s="78">
        <v>7457</v>
      </c>
      <c r="E61" s="78">
        <v>7457</v>
      </c>
      <c r="F61" s="78"/>
      <c r="G61" s="78">
        <f t="shared" ref="G61:G63" si="13">+E61+F61</f>
        <v>7457</v>
      </c>
      <c r="I61" s="78">
        <v>7457</v>
      </c>
      <c r="K61" s="118">
        <f>+(I61-G61)/G61</f>
        <v>0</v>
      </c>
    </row>
    <row r="62" spans="1:11">
      <c r="B62" s="66" t="s">
        <v>113</v>
      </c>
      <c r="D62" s="78">
        <v>207.72</v>
      </c>
      <c r="E62" s="78">
        <v>207.72</v>
      </c>
      <c r="F62" s="78"/>
      <c r="G62" s="78">
        <f t="shared" si="13"/>
        <v>207.72</v>
      </c>
      <c r="I62" s="78">
        <v>207.72</v>
      </c>
    </row>
    <row r="63" spans="1:11">
      <c r="B63" s="66" t="s">
        <v>114</v>
      </c>
      <c r="D63" s="78">
        <v>360</v>
      </c>
      <c r="E63" s="78">
        <v>360</v>
      </c>
      <c r="F63" s="78"/>
      <c r="G63" s="78">
        <f t="shared" si="13"/>
        <v>360</v>
      </c>
      <c r="I63" s="78">
        <v>360</v>
      </c>
    </row>
    <row r="64" spans="1:11" ht="15.75">
      <c r="B64" s="67" t="s">
        <v>115</v>
      </c>
      <c r="D64" s="68">
        <f>+D61+D62+D63</f>
        <v>8024.72</v>
      </c>
      <c r="E64" s="68">
        <f t="shared" ref="E64:I64" si="14">+E61+E62+E63</f>
        <v>8024.72</v>
      </c>
      <c r="F64" s="68">
        <f t="shared" si="14"/>
        <v>0</v>
      </c>
      <c r="G64" s="68">
        <f t="shared" si="14"/>
        <v>8024.72</v>
      </c>
      <c r="I64" s="68">
        <f t="shared" si="14"/>
        <v>8024.72</v>
      </c>
    </row>
    <row r="65" spans="2:9" ht="15.75" hidden="1">
      <c r="B65" s="69" t="str">
        <f>+[1]Income!I4</f>
        <v>Web ads</v>
      </c>
      <c r="D65" s="79"/>
      <c r="E65" s="79"/>
      <c r="F65" s="79"/>
      <c r="G65" s="79"/>
      <c r="I65" s="79"/>
    </row>
    <row r="66" spans="2:9" ht="15.75">
      <c r="B66" s="70" t="s">
        <v>116</v>
      </c>
      <c r="D66" s="80"/>
      <c r="E66" s="80"/>
      <c r="F66" s="80"/>
      <c r="G66" s="80"/>
      <c r="I66" s="80"/>
    </row>
    <row r="67" spans="2:9" ht="15.75">
      <c r="B67" s="70" t="s">
        <v>117</v>
      </c>
      <c r="D67" s="80"/>
      <c r="E67" s="80"/>
      <c r="F67" s="80"/>
      <c r="G67" s="80"/>
      <c r="I67" s="80"/>
    </row>
    <row r="68" spans="2:9" ht="15.75">
      <c r="B68" s="70" t="s">
        <v>118</v>
      </c>
      <c r="D68" s="80"/>
      <c r="E68" s="80">
        <v>3465.87</v>
      </c>
      <c r="F68" s="80"/>
      <c r="G68" s="80">
        <f>+E68</f>
        <v>3465.87</v>
      </c>
      <c r="I68" s="80">
        <v>0</v>
      </c>
    </row>
    <row r="69" spans="2:9" ht="15.75">
      <c r="B69" s="64" t="s">
        <v>119</v>
      </c>
      <c r="D69" s="65"/>
      <c r="E69" s="65"/>
      <c r="F69" s="65"/>
      <c r="G69" s="65"/>
      <c r="I69" s="65"/>
    </row>
    <row r="70" spans="2:9" ht="15.75">
      <c r="B70" s="43" t="s">
        <v>120</v>
      </c>
      <c r="D70" s="63">
        <f>+D64+D65+D66+D67+D68+D69</f>
        <v>8024.72</v>
      </c>
      <c r="E70" s="63">
        <f t="shared" ref="E70:I70" si="15">+E64+E65+E66+E67+E68+E69</f>
        <v>11490.59</v>
      </c>
      <c r="F70" s="63">
        <f t="shared" si="15"/>
        <v>0</v>
      </c>
      <c r="G70" s="63">
        <f t="shared" si="15"/>
        <v>11490.59</v>
      </c>
      <c r="I70" s="63">
        <f t="shared" si="15"/>
        <v>8024.72</v>
      </c>
    </row>
    <row r="71" spans="2:9">
      <c r="D71" s="45"/>
      <c r="E71" s="45"/>
      <c r="F71" s="45"/>
      <c r="G71" s="45"/>
      <c r="I71" s="45"/>
    </row>
    <row r="72" spans="2:9">
      <c r="D72" s="45"/>
      <c r="E72" s="45"/>
      <c r="F72" s="45"/>
      <c r="G72" s="45"/>
      <c r="I72" s="45"/>
    </row>
    <row r="73" spans="2:9">
      <c r="B73" t="s">
        <v>128</v>
      </c>
      <c r="D73" s="45">
        <f>+D70-D45</f>
        <v>233.94999999999982</v>
      </c>
      <c r="E73" s="45">
        <f>+E70-E45</f>
        <v>6832.99</v>
      </c>
      <c r="F73" s="45">
        <f>+F70-F45</f>
        <v>-6831.58</v>
      </c>
      <c r="G73" s="45">
        <f>+G70-G45</f>
        <v>1589.7700000000004</v>
      </c>
      <c r="I73" s="45">
        <f>+I70-I45</f>
        <v>1.3873000000003231</v>
      </c>
    </row>
  </sheetData>
  <pageMargins left="0.23622047244094491" right="0.23622047244094491" top="0" bottom="0" header="0" footer="0"/>
  <pageSetup paperSize="9" scale="6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2"/>
  <sheetViews>
    <sheetView topLeftCell="B1" workbookViewId="0">
      <selection activeCell="K20" sqref="K20"/>
    </sheetView>
  </sheetViews>
  <sheetFormatPr defaultRowHeight="15"/>
  <cols>
    <col min="1" max="1" width="9.140625" style="1" hidden="1" customWidth="1"/>
    <col min="3" max="3" width="27" customWidth="1"/>
    <col min="4" max="4" width="21.140625" customWidth="1"/>
    <col min="5" max="5" width="24.140625" customWidth="1"/>
    <col min="6" max="6" width="12.140625" style="1" customWidth="1"/>
  </cols>
  <sheetData>
    <row r="1" spans="1:11" ht="15.75">
      <c r="B1" s="31" t="s">
        <v>83</v>
      </c>
      <c r="C1" s="31"/>
      <c r="D1" s="31"/>
      <c r="E1" s="31"/>
      <c r="F1" s="30"/>
      <c r="G1" s="31"/>
      <c r="H1" s="31"/>
      <c r="I1" s="31"/>
      <c r="J1" s="31"/>
      <c r="K1" s="31"/>
    </row>
    <row r="2" spans="1:11" ht="47.25">
      <c r="A2" s="2" t="s">
        <v>0</v>
      </c>
      <c r="B2" s="31"/>
      <c r="C2" s="31"/>
      <c r="D2" s="31"/>
      <c r="E2" s="31"/>
      <c r="F2" s="32" t="s">
        <v>86</v>
      </c>
      <c r="G2" s="31"/>
      <c r="H2" s="31"/>
      <c r="I2" s="31"/>
      <c r="J2" s="31"/>
      <c r="K2" s="31"/>
    </row>
    <row r="3" spans="1:11" ht="15.75">
      <c r="A3" s="3"/>
      <c r="B3" s="34">
        <v>1</v>
      </c>
      <c r="C3" s="34" t="s">
        <v>1</v>
      </c>
      <c r="D3" s="35"/>
      <c r="E3" s="35"/>
      <c r="F3" s="33"/>
      <c r="G3" s="31"/>
      <c r="H3" s="31"/>
      <c r="I3" s="31"/>
      <c r="J3" s="31"/>
      <c r="K3" s="31"/>
    </row>
    <row r="4" spans="1:11" ht="15.75">
      <c r="A4" s="3">
        <f>194.18*2+207.38+207.16</f>
        <v>802.9</v>
      </c>
      <c r="B4" s="35">
        <v>1.1000000000000001</v>
      </c>
      <c r="C4" s="35" t="s">
        <v>2</v>
      </c>
      <c r="D4" s="35" t="s">
        <v>190</v>
      </c>
      <c r="E4" s="35"/>
      <c r="F4" s="33">
        <f>+Summary!I6</f>
        <v>2762.7072000000003</v>
      </c>
      <c r="G4" s="31"/>
      <c r="H4" s="31"/>
      <c r="I4" s="31"/>
      <c r="J4" s="31"/>
      <c r="K4" s="31"/>
    </row>
    <row r="5" spans="1:11" ht="15.75">
      <c r="A5" s="3">
        <f>11.49*6</f>
        <v>68.94</v>
      </c>
      <c r="B5" s="35">
        <v>1.3</v>
      </c>
      <c r="C5" s="35" t="s">
        <v>3</v>
      </c>
      <c r="D5" s="35" t="s">
        <v>4</v>
      </c>
      <c r="E5" s="35" t="s">
        <v>191</v>
      </c>
      <c r="F5" s="33">
        <v>116</v>
      </c>
      <c r="G5" s="31" t="s">
        <v>192</v>
      </c>
      <c r="H5" s="31"/>
      <c r="I5" s="31"/>
      <c r="J5" s="31"/>
      <c r="K5" s="31"/>
    </row>
    <row r="6" spans="1:11" ht="15.75">
      <c r="A6" s="3">
        <v>3.26</v>
      </c>
      <c r="B6" s="35"/>
      <c r="C6" s="35"/>
      <c r="D6" s="35" t="s">
        <v>5</v>
      </c>
      <c r="E6" s="35" t="s">
        <v>6</v>
      </c>
      <c r="F6" s="33">
        <v>6</v>
      </c>
      <c r="G6" s="31"/>
      <c r="H6" s="31"/>
      <c r="I6" s="31"/>
      <c r="J6" s="31"/>
      <c r="K6" s="31"/>
    </row>
    <row r="7" spans="1:11" ht="15.75">
      <c r="A7" s="3"/>
      <c r="B7" s="35"/>
      <c r="C7" s="35"/>
      <c r="D7" s="35" t="s">
        <v>7</v>
      </c>
      <c r="E7" s="35" t="s">
        <v>8</v>
      </c>
      <c r="F7" s="33">
        <v>50</v>
      </c>
      <c r="G7" s="31"/>
      <c r="H7" s="31"/>
      <c r="I7" s="31"/>
      <c r="J7" s="31"/>
      <c r="K7" s="31"/>
    </row>
    <row r="8" spans="1:11" ht="15.75">
      <c r="A8" s="3">
        <f>4.6+3+1.06+23.42-11.49</f>
        <v>20.589999999999996</v>
      </c>
      <c r="B8" s="35"/>
      <c r="C8" s="35"/>
      <c r="D8" s="35" t="s">
        <v>9</v>
      </c>
      <c r="E8" s="35" t="s">
        <v>10</v>
      </c>
      <c r="F8" s="33">
        <v>35</v>
      </c>
      <c r="G8" s="31"/>
      <c r="H8" s="31"/>
      <c r="I8" s="31"/>
      <c r="J8" s="31"/>
      <c r="K8" s="31"/>
    </row>
    <row r="9" spans="1:11" ht="15.75">
      <c r="A9" s="3">
        <v>7.2</v>
      </c>
      <c r="B9" s="35"/>
      <c r="C9" s="35"/>
      <c r="D9" s="35" t="s">
        <v>11</v>
      </c>
      <c r="E9" s="35" t="s">
        <v>12</v>
      </c>
      <c r="F9" s="33">
        <v>30</v>
      </c>
      <c r="G9" s="31"/>
      <c r="H9" s="31"/>
      <c r="I9" s="31"/>
      <c r="J9" s="31"/>
      <c r="K9" s="31"/>
    </row>
    <row r="10" spans="1:11" ht="15.75">
      <c r="A10" s="3">
        <v>18.600000000000001</v>
      </c>
      <c r="B10" s="35"/>
      <c r="C10" s="35"/>
      <c r="D10" s="35"/>
      <c r="E10" s="35" t="s">
        <v>26</v>
      </c>
      <c r="F10" s="33">
        <v>13</v>
      </c>
      <c r="G10" s="31"/>
      <c r="H10" s="31"/>
      <c r="I10" s="31"/>
      <c r="J10" s="31"/>
      <c r="K10" s="31"/>
    </row>
    <row r="11" spans="1:11" ht="15.75">
      <c r="A11" s="3"/>
      <c r="B11" s="35">
        <v>1.4</v>
      </c>
      <c r="C11" s="35" t="s">
        <v>13</v>
      </c>
      <c r="D11" s="35" t="s">
        <v>14</v>
      </c>
      <c r="E11" s="35"/>
      <c r="F11" s="33"/>
      <c r="G11" s="31"/>
      <c r="H11" s="31"/>
      <c r="I11" s="31"/>
      <c r="J11" s="31"/>
      <c r="K11" s="31"/>
    </row>
    <row r="12" spans="1:11" ht="15.75">
      <c r="A12" s="3">
        <v>30</v>
      </c>
      <c r="B12" s="35"/>
      <c r="C12" s="35"/>
      <c r="D12" s="35" t="s">
        <v>15</v>
      </c>
      <c r="E12" s="35"/>
      <c r="F12" s="33">
        <v>200</v>
      </c>
      <c r="G12" s="31"/>
      <c r="H12" s="31"/>
      <c r="I12" s="31"/>
      <c r="J12" s="31"/>
      <c r="K12" s="31"/>
    </row>
    <row r="13" spans="1:11" ht="15.75">
      <c r="A13" s="3">
        <f>72+80</f>
        <v>152</v>
      </c>
      <c r="B13" s="35">
        <v>1.5</v>
      </c>
      <c r="C13" s="35" t="s">
        <v>16</v>
      </c>
      <c r="D13" s="35"/>
      <c r="E13" s="35"/>
      <c r="F13" s="33">
        <v>168</v>
      </c>
      <c r="G13" s="31" t="s">
        <v>17</v>
      </c>
      <c r="H13" s="31"/>
      <c r="I13" s="31"/>
      <c r="J13" s="31"/>
      <c r="K13" s="31"/>
    </row>
    <row r="14" spans="1:11" ht="15.75">
      <c r="A14" s="3">
        <f>45+40</f>
        <v>85</v>
      </c>
      <c r="B14" s="35">
        <v>1.6</v>
      </c>
      <c r="C14" s="35" t="s">
        <v>18</v>
      </c>
      <c r="D14" s="35" t="s">
        <v>19</v>
      </c>
      <c r="E14" s="35" t="s">
        <v>20</v>
      </c>
      <c r="F14" s="33">
        <v>250</v>
      </c>
      <c r="G14" s="31">
        <f>250/20</f>
        <v>12.5</v>
      </c>
      <c r="H14" s="31"/>
      <c r="I14" s="31"/>
      <c r="J14" s="31"/>
      <c r="K14" s="31"/>
    </row>
    <row r="15" spans="1:11" ht="15.75">
      <c r="A15" s="3"/>
      <c r="B15" s="35"/>
      <c r="C15" s="35"/>
      <c r="D15" s="35" t="s">
        <v>21</v>
      </c>
      <c r="E15" s="35" t="s">
        <v>20</v>
      </c>
      <c r="F15" s="33">
        <v>250</v>
      </c>
      <c r="G15" s="31"/>
      <c r="H15" s="31"/>
      <c r="I15" s="31"/>
      <c r="J15" s="31"/>
      <c r="K15" s="31"/>
    </row>
    <row r="16" spans="1:11" ht="15.75">
      <c r="A16" s="3">
        <v>140</v>
      </c>
      <c r="B16" s="35">
        <v>1.7</v>
      </c>
      <c r="C16" s="35" t="s">
        <v>22</v>
      </c>
      <c r="D16" s="35" t="s">
        <v>23</v>
      </c>
      <c r="E16" s="35"/>
      <c r="F16" s="33">
        <v>160</v>
      </c>
      <c r="G16" s="31"/>
      <c r="H16" s="31"/>
      <c r="I16" s="31"/>
      <c r="J16" s="31"/>
      <c r="K16" s="31"/>
    </row>
    <row r="17" spans="1:11" ht="15.75">
      <c r="A17" s="3">
        <v>34.340000000000003</v>
      </c>
      <c r="B17" s="35"/>
      <c r="C17" s="35"/>
      <c r="D17" s="35" t="s">
        <v>24</v>
      </c>
      <c r="E17" s="35"/>
      <c r="F17" s="33">
        <v>40</v>
      </c>
      <c r="G17" s="31"/>
      <c r="H17" s="31"/>
      <c r="I17" s="31"/>
      <c r="J17" s="31"/>
      <c r="K17" s="31"/>
    </row>
    <row r="18" spans="1:11" ht="15.75">
      <c r="A18" s="3"/>
      <c r="B18" s="35"/>
      <c r="C18" s="35"/>
      <c r="D18" s="35" t="s">
        <v>25</v>
      </c>
      <c r="E18" s="35"/>
      <c r="F18" s="33"/>
      <c r="G18" s="31"/>
      <c r="H18" s="31"/>
      <c r="I18" s="31"/>
      <c r="J18" s="31"/>
      <c r="K18" s="31"/>
    </row>
    <row r="19" spans="1:11" ht="15.75">
      <c r="A19" s="3"/>
      <c r="B19" s="35"/>
      <c r="C19" s="35"/>
      <c r="D19" s="35" t="s">
        <v>26</v>
      </c>
      <c r="E19" s="35"/>
      <c r="F19" s="33"/>
      <c r="G19" s="31"/>
      <c r="H19" s="31"/>
      <c r="I19" s="31"/>
      <c r="J19" s="31"/>
      <c r="K19" s="31"/>
    </row>
    <row r="20" spans="1:11" ht="15.75">
      <c r="A20" s="3">
        <v>49.99</v>
      </c>
      <c r="B20" s="35">
        <v>1.9</v>
      </c>
      <c r="C20" s="35" t="s">
        <v>27</v>
      </c>
      <c r="D20" s="35" t="s">
        <v>28</v>
      </c>
      <c r="E20" s="35" t="s">
        <v>29</v>
      </c>
      <c r="F20" s="33">
        <v>50</v>
      </c>
      <c r="G20" s="31"/>
      <c r="H20" s="31"/>
      <c r="I20" s="31"/>
      <c r="J20" s="31"/>
      <c r="K20" s="31"/>
    </row>
    <row r="21" spans="1:11" ht="15.75">
      <c r="A21" s="3"/>
      <c r="B21" s="36" t="s">
        <v>30</v>
      </c>
      <c r="C21" s="35" t="s">
        <v>31</v>
      </c>
      <c r="D21" s="35"/>
      <c r="E21" s="35"/>
      <c r="F21" s="106">
        <v>120</v>
      </c>
      <c r="G21" s="31"/>
      <c r="H21" s="31"/>
      <c r="I21" s="31"/>
      <c r="J21" s="31"/>
      <c r="K21" s="31"/>
    </row>
    <row r="22" spans="1:11" ht="15.75">
      <c r="A22" s="3"/>
      <c r="B22" s="36"/>
      <c r="C22" s="35"/>
      <c r="D22" s="35"/>
      <c r="E22" s="35"/>
      <c r="F22" s="106"/>
      <c r="G22" s="31"/>
      <c r="H22" s="31"/>
      <c r="I22" s="31"/>
      <c r="J22" s="31"/>
      <c r="K22" s="31"/>
    </row>
    <row r="23" spans="1:11" ht="15.75">
      <c r="A23" s="3"/>
      <c r="B23" s="34">
        <v>2</v>
      </c>
      <c r="C23" s="34" t="s">
        <v>32</v>
      </c>
      <c r="D23" s="35"/>
      <c r="E23" s="35"/>
      <c r="F23" s="33"/>
      <c r="G23" s="31"/>
      <c r="H23" s="31"/>
      <c r="I23" s="31"/>
      <c r="J23" s="31"/>
      <c r="K23" s="31"/>
    </row>
    <row r="24" spans="1:11" ht="15.75">
      <c r="A24" s="3">
        <v>30</v>
      </c>
      <c r="B24" s="35">
        <v>2.1</v>
      </c>
      <c r="C24" s="35" t="s">
        <v>33</v>
      </c>
      <c r="D24" s="35"/>
      <c r="E24" s="35" t="s">
        <v>34</v>
      </c>
      <c r="F24" s="33">
        <v>37.5</v>
      </c>
      <c r="G24" s="31" t="s">
        <v>94</v>
      </c>
      <c r="H24" s="31"/>
      <c r="I24" s="31"/>
      <c r="J24" s="31"/>
      <c r="K24" s="31"/>
    </row>
    <row r="25" spans="1:11" ht="15.75">
      <c r="A25" s="3"/>
      <c r="B25" s="35"/>
      <c r="C25" s="35"/>
      <c r="D25" s="35"/>
      <c r="E25" s="35" t="s">
        <v>35</v>
      </c>
      <c r="F25" s="33"/>
      <c r="G25" s="31"/>
      <c r="H25" s="31"/>
      <c r="I25" s="31"/>
      <c r="J25" s="31"/>
      <c r="K25" s="31"/>
    </row>
    <row r="26" spans="1:11" ht="15.75">
      <c r="A26" s="3">
        <v>380.92</v>
      </c>
      <c r="B26" s="35">
        <v>2.2000000000000002</v>
      </c>
      <c r="C26" s="35" t="s">
        <v>36</v>
      </c>
      <c r="D26" s="35"/>
      <c r="E26" s="35"/>
      <c r="F26" s="33">
        <v>382.18</v>
      </c>
      <c r="G26" s="31"/>
      <c r="H26" s="31"/>
      <c r="I26" s="31"/>
      <c r="J26" s="31"/>
      <c r="K26" s="31"/>
    </row>
    <row r="27" spans="1:11" ht="15.75">
      <c r="A27" s="3"/>
      <c r="B27" s="35">
        <v>2.2999999999999998</v>
      </c>
      <c r="C27" s="35" t="s">
        <v>84</v>
      </c>
      <c r="D27" s="35"/>
      <c r="E27" s="35"/>
      <c r="F27" s="106">
        <v>35</v>
      </c>
      <c r="G27" s="31" t="s">
        <v>90</v>
      </c>
      <c r="H27" s="31"/>
      <c r="I27" s="31"/>
      <c r="J27" s="31"/>
      <c r="K27" s="31"/>
    </row>
    <row r="28" spans="1:11" ht="15.75">
      <c r="A28" s="3"/>
      <c r="B28" s="35">
        <v>2.4</v>
      </c>
      <c r="C28" s="35" t="s">
        <v>85</v>
      </c>
      <c r="D28" s="35"/>
      <c r="E28" s="35"/>
      <c r="F28" s="106">
        <v>0</v>
      </c>
      <c r="G28" s="31" t="s">
        <v>140</v>
      </c>
      <c r="H28" s="31"/>
      <c r="I28" s="31"/>
      <c r="J28" s="31"/>
      <c r="K28" s="31"/>
    </row>
    <row r="29" spans="1:11" ht="15.75">
      <c r="A29" s="3"/>
      <c r="B29" s="35"/>
      <c r="C29" s="35"/>
      <c r="D29" s="35"/>
      <c r="E29" s="35"/>
      <c r="F29" s="33"/>
      <c r="G29" s="31"/>
      <c r="H29" s="31"/>
      <c r="I29" s="31"/>
      <c r="J29" s="31"/>
      <c r="K29" s="31"/>
    </row>
    <row r="30" spans="1:11" ht="15.75">
      <c r="A30" s="3"/>
      <c r="B30" s="34">
        <v>3</v>
      </c>
      <c r="C30" s="34" t="s">
        <v>37</v>
      </c>
      <c r="D30" s="35"/>
      <c r="E30" s="35"/>
      <c r="F30" s="33"/>
      <c r="G30" s="31"/>
      <c r="H30" s="31"/>
      <c r="I30" s="31"/>
      <c r="J30" s="31"/>
      <c r="K30" s="31"/>
    </row>
    <row r="31" spans="1:11" ht="15.75">
      <c r="A31" s="3"/>
      <c r="B31" s="35"/>
      <c r="C31" s="35" t="s">
        <v>38</v>
      </c>
      <c r="D31" s="35"/>
      <c r="E31" s="35"/>
      <c r="F31" s="33">
        <v>100</v>
      </c>
      <c r="G31" s="31"/>
      <c r="H31" s="31"/>
      <c r="I31" s="31"/>
      <c r="J31" s="31"/>
      <c r="K31" s="31"/>
    </row>
    <row r="32" spans="1:11" ht="15.75">
      <c r="B32" s="35">
        <v>3.3</v>
      </c>
      <c r="C32" s="35" t="s">
        <v>39</v>
      </c>
      <c r="D32" s="35"/>
      <c r="E32" s="35" t="s">
        <v>40</v>
      </c>
      <c r="F32" s="33"/>
      <c r="G32" s="31"/>
      <c r="H32" s="31"/>
      <c r="I32" s="31"/>
      <c r="J32" s="31"/>
      <c r="K32" s="31"/>
    </row>
    <row r="33" spans="1:11" ht="15.75">
      <c r="A33" s="3">
        <v>96</v>
      </c>
      <c r="B33" s="35">
        <v>3.5</v>
      </c>
      <c r="C33" s="35" t="s">
        <v>41</v>
      </c>
      <c r="D33" s="35"/>
      <c r="E33" s="35"/>
      <c r="F33" s="33">
        <v>100</v>
      </c>
      <c r="G33" s="31"/>
      <c r="H33" s="31"/>
      <c r="I33" s="31"/>
      <c r="J33" s="31"/>
      <c r="K33" s="31"/>
    </row>
    <row r="34" spans="1:11" ht="15.75">
      <c r="A34" s="3">
        <v>400</v>
      </c>
      <c r="B34" s="35">
        <v>3.6</v>
      </c>
      <c r="C34" s="35" t="s">
        <v>42</v>
      </c>
      <c r="D34" s="35"/>
      <c r="E34" s="35"/>
      <c r="F34" s="33">
        <v>400</v>
      </c>
      <c r="G34" s="31"/>
      <c r="H34" s="31"/>
      <c r="I34" s="31"/>
      <c r="J34" s="31"/>
      <c r="K34" s="31"/>
    </row>
    <row r="35" spans="1:11" ht="15.75">
      <c r="A35" s="3"/>
      <c r="B35" s="35"/>
      <c r="C35" s="35" t="s">
        <v>66</v>
      </c>
      <c r="D35" s="35"/>
      <c r="E35" s="35"/>
      <c r="F35" s="33">
        <v>250</v>
      </c>
      <c r="G35" s="31"/>
      <c r="H35" s="31"/>
      <c r="I35" s="31"/>
      <c r="J35" s="31"/>
      <c r="K35" s="31"/>
    </row>
    <row r="36" spans="1:11" ht="15.75">
      <c r="A36" s="3"/>
      <c r="B36" s="35">
        <v>3.8</v>
      </c>
      <c r="C36" s="35" t="s">
        <v>87</v>
      </c>
      <c r="D36" s="35"/>
      <c r="E36" s="35"/>
      <c r="F36" s="33"/>
      <c r="G36" s="31"/>
      <c r="H36" s="31"/>
      <c r="I36" s="31"/>
      <c r="J36" s="31"/>
      <c r="K36" s="31"/>
    </row>
    <row r="37" spans="1:11" ht="15.75">
      <c r="A37" s="3"/>
      <c r="B37" s="35"/>
      <c r="C37" s="38" t="s">
        <v>88</v>
      </c>
      <c r="D37" s="35"/>
      <c r="E37" s="35"/>
      <c r="F37" s="33"/>
      <c r="G37" s="39" t="s">
        <v>89</v>
      </c>
      <c r="H37" s="39"/>
      <c r="I37" s="39"/>
      <c r="J37" s="39"/>
      <c r="K37" s="39"/>
    </row>
    <row r="38" spans="1:11" ht="15.75">
      <c r="A38" s="3"/>
      <c r="B38" s="35"/>
      <c r="C38" s="35"/>
      <c r="D38" s="35"/>
      <c r="E38" s="35"/>
      <c r="F38" s="33"/>
      <c r="G38" s="31"/>
      <c r="H38" s="31"/>
      <c r="I38" s="31"/>
      <c r="J38" s="31"/>
      <c r="K38" s="31"/>
    </row>
    <row r="39" spans="1:11" ht="15.75">
      <c r="A39" s="3"/>
      <c r="B39" s="34">
        <v>4</v>
      </c>
      <c r="C39" s="34" t="s">
        <v>43</v>
      </c>
      <c r="D39" s="35"/>
      <c r="E39" s="35"/>
      <c r="F39" s="33"/>
      <c r="G39" s="31"/>
      <c r="H39" s="31"/>
      <c r="I39" s="31"/>
      <c r="J39" s="31"/>
      <c r="K39" s="31"/>
    </row>
    <row r="40" spans="1:11" ht="15.75">
      <c r="A40" s="3"/>
      <c r="B40" s="35">
        <v>4.0999999999999996</v>
      </c>
      <c r="C40" s="35" t="s">
        <v>44</v>
      </c>
      <c r="D40" s="35"/>
      <c r="E40" s="35" t="s">
        <v>45</v>
      </c>
      <c r="F40" s="33"/>
      <c r="G40" s="31"/>
      <c r="H40" s="31"/>
      <c r="I40" s="31"/>
      <c r="J40" s="31"/>
      <c r="K40" s="31"/>
    </row>
    <row r="41" spans="1:11" ht="15.75">
      <c r="A41" s="3"/>
      <c r="B41" s="35">
        <v>4.2</v>
      </c>
      <c r="C41" s="35" t="s">
        <v>46</v>
      </c>
      <c r="D41" s="35"/>
      <c r="E41" s="35"/>
      <c r="F41" s="33"/>
      <c r="G41" s="31"/>
      <c r="H41" s="31"/>
      <c r="I41" s="31"/>
      <c r="J41" s="31"/>
      <c r="K41" s="31"/>
    </row>
    <row r="42" spans="1:11" ht="15.75">
      <c r="A42" s="3"/>
      <c r="B42" s="35"/>
      <c r="C42" s="35" t="s">
        <v>65</v>
      </c>
      <c r="D42" s="35"/>
      <c r="E42" s="35"/>
      <c r="F42" s="33"/>
      <c r="G42" s="31"/>
      <c r="H42" s="31"/>
      <c r="I42" s="31"/>
      <c r="J42" s="31"/>
      <c r="K42" s="31"/>
    </row>
    <row r="43" spans="1:11" ht="15.75">
      <c r="A43" s="3"/>
      <c r="B43" s="35"/>
      <c r="C43" s="35" t="s">
        <v>92</v>
      </c>
      <c r="D43" s="35" t="s">
        <v>93</v>
      </c>
      <c r="E43" s="35"/>
      <c r="F43" s="33">
        <v>0</v>
      </c>
      <c r="G43" s="31"/>
      <c r="H43" s="31"/>
      <c r="I43" s="31"/>
      <c r="J43" s="31"/>
      <c r="K43" s="31"/>
    </row>
    <row r="44" spans="1:11" ht="15.75">
      <c r="A44" s="3"/>
      <c r="B44" s="35"/>
      <c r="C44" s="35"/>
      <c r="D44" s="35"/>
      <c r="E44" s="35"/>
      <c r="F44" s="33"/>
      <c r="G44" s="31"/>
      <c r="H44" s="31"/>
      <c r="I44" s="31"/>
      <c r="J44" s="31"/>
      <c r="K44" s="31"/>
    </row>
    <row r="45" spans="1:11" ht="15.75">
      <c r="A45" s="3"/>
      <c r="B45" s="34">
        <v>5</v>
      </c>
      <c r="C45" s="34" t="s">
        <v>47</v>
      </c>
      <c r="D45" s="35"/>
      <c r="E45" s="35"/>
      <c r="F45" s="33"/>
      <c r="G45" s="31"/>
      <c r="H45" s="31"/>
      <c r="I45" s="31"/>
      <c r="J45" s="31"/>
      <c r="K45" s="31"/>
    </row>
    <row r="46" spans="1:11" ht="15.75">
      <c r="A46" s="3"/>
      <c r="B46" s="40" t="s">
        <v>48</v>
      </c>
      <c r="C46" s="34" t="s">
        <v>47</v>
      </c>
      <c r="D46" s="35"/>
      <c r="E46" s="35"/>
      <c r="F46" s="33">
        <v>50</v>
      </c>
      <c r="G46" s="31"/>
      <c r="H46" s="31"/>
      <c r="I46" s="31"/>
      <c r="J46" s="31"/>
      <c r="K46" s="31"/>
    </row>
    <row r="47" spans="1:11" ht="15.75">
      <c r="A47" s="3">
        <f>73*2</f>
        <v>146</v>
      </c>
      <c r="B47" s="35">
        <v>5.2</v>
      </c>
      <c r="C47" s="35" t="s">
        <v>49</v>
      </c>
      <c r="D47" s="35"/>
      <c r="E47" s="35"/>
      <c r="F47" s="33">
        <v>200</v>
      </c>
      <c r="G47" s="31"/>
      <c r="H47" s="31"/>
      <c r="I47" s="31"/>
      <c r="J47" s="31"/>
      <c r="K47" s="31"/>
    </row>
    <row r="48" spans="1:11" ht="15.75">
      <c r="A48" s="3">
        <v>302</v>
      </c>
      <c r="B48" s="35">
        <v>5.3</v>
      </c>
      <c r="C48" s="35" t="s">
        <v>50</v>
      </c>
      <c r="D48" s="35" t="s">
        <v>51</v>
      </c>
      <c r="E48" s="35" t="s">
        <v>52</v>
      </c>
      <c r="F48" s="33">
        <v>500</v>
      </c>
      <c r="G48" s="31"/>
      <c r="H48" s="31"/>
      <c r="I48" s="31"/>
      <c r="J48" s="31"/>
      <c r="K48" s="31"/>
    </row>
    <row r="49" spans="1:11" ht="15.75">
      <c r="A49" s="3">
        <f>50+100+100</f>
        <v>250</v>
      </c>
      <c r="B49" s="35"/>
      <c r="C49" s="35"/>
      <c r="D49" s="35" t="s">
        <v>26</v>
      </c>
      <c r="E49" s="35" t="s">
        <v>53</v>
      </c>
      <c r="F49" s="33">
        <v>200</v>
      </c>
      <c r="G49" s="31"/>
      <c r="H49" s="31"/>
      <c r="I49" s="31"/>
      <c r="J49" s="31"/>
      <c r="K49" s="31"/>
    </row>
    <row r="50" spans="1:11" ht="15.75">
      <c r="A50" s="3">
        <v>22</v>
      </c>
      <c r="B50" s="35"/>
      <c r="C50" s="35"/>
      <c r="D50" s="35"/>
      <c r="E50" s="35" t="s">
        <v>54</v>
      </c>
      <c r="F50" s="33"/>
      <c r="G50" s="31"/>
      <c r="H50" s="31"/>
      <c r="I50" s="31"/>
      <c r="J50" s="31"/>
      <c r="K50" s="31"/>
    </row>
    <row r="51" spans="1:11" ht="15.75">
      <c r="A51" s="3"/>
      <c r="B51" s="35">
        <v>5.4</v>
      </c>
      <c r="C51" s="35" t="s">
        <v>141</v>
      </c>
      <c r="D51" s="35"/>
      <c r="E51" s="35" t="s">
        <v>55</v>
      </c>
      <c r="F51" s="33">
        <v>100</v>
      </c>
      <c r="G51" s="31"/>
      <c r="H51" s="31"/>
      <c r="I51" s="31"/>
      <c r="J51" s="31"/>
      <c r="K51" s="31"/>
    </row>
    <row r="52" spans="1:11" ht="15.75">
      <c r="B52" s="35"/>
      <c r="C52" s="34" t="s">
        <v>56</v>
      </c>
      <c r="D52" s="35"/>
      <c r="E52" s="35"/>
      <c r="F52" s="33"/>
      <c r="G52" s="31"/>
      <c r="H52" s="31"/>
      <c r="I52" s="31"/>
      <c r="J52" s="31"/>
      <c r="K52" s="31"/>
    </row>
    <row r="53" spans="1:11" ht="15.75">
      <c r="A53" s="3">
        <v>300</v>
      </c>
      <c r="B53" s="35"/>
      <c r="C53" s="35" t="s">
        <v>57</v>
      </c>
      <c r="D53" s="35"/>
      <c r="E53" s="35"/>
      <c r="F53" s="33">
        <v>0</v>
      </c>
      <c r="G53" s="31" t="s">
        <v>91</v>
      </c>
      <c r="H53" s="31"/>
      <c r="I53" s="31"/>
      <c r="J53" s="31"/>
      <c r="K53" s="31"/>
    </row>
    <row r="54" spans="1:11" ht="15.75">
      <c r="A54" s="3">
        <v>400</v>
      </c>
      <c r="B54" s="35"/>
      <c r="C54" s="35" t="s">
        <v>14</v>
      </c>
      <c r="D54" s="35"/>
      <c r="E54" s="35"/>
      <c r="F54" s="33">
        <v>300</v>
      </c>
      <c r="G54" s="31" t="s">
        <v>95</v>
      </c>
      <c r="H54" s="31"/>
      <c r="I54" s="31"/>
      <c r="J54" s="31"/>
      <c r="K54" s="31"/>
    </row>
    <row r="55" spans="1:11" ht="15.75">
      <c r="A55" s="3"/>
      <c r="B55" s="35"/>
      <c r="C55" s="35" t="s">
        <v>58</v>
      </c>
      <c r="D55" s="35" t="s">
        <v>59</v>
      </c>
      <c r="E55" s="35"/>
      <c r="F55" s="33">
        <v>80</v>
      </c>
      <c r="G55" s="31"/>
      <c r="H55" s="31"/>
      <c r="I55" s="31"/>
      <c r="J55" s="31"/>
      <c r="K55" s="31"/>
    </row>
    <row r="56" spans="1:11" ht="15.75">
      <c r="A56" s="3"/>
      <c r="B56" s="35"/>
      <c r="C56" s="35" t="s">
        <v>60</v>
      </c>
      <c r="D56" s="35"/>
      <c r="E56" s="35"/>
      <c r="F56" s="33"/>
      <c r="G56" s="31"/>
      <c r="H56" s="31"/>
      <c r="I56" s="31"/>
      <c r="J56" s="31"/>
      <c r="K56" s="31"/>
    </row>
    <row r="57" spans="1:11" ht="15.75">
      <c r="A57" s="3"/>
      <c r="B57" s="35"/>
      <c r="C57" s="35" t="s">
        <v>61</v>
      </c>
      <c r="D57" s="35"/>
      <c r="E57" s="35"/>
      <c r="F57" s="33"/>
      <c r="G57" s="31"/>
      <c r="H57" s="31"/>
      <c r="I57" s="31"/>
      <c r="J57" s="31"/>
      <c r="K57" s="31"/>
    </row>
    <row r="58" spans="1:11" ht="15.75">
      <c r="B58" s="35"/>
      <c r="C58" s="35"/>
      <c r="D58" s="35"/>
      <c r="E58" s="35"/>
      <c r="F58" s="33"/>
      <c r="G58" s="31"/>
      <c r="H58" s="31"/>
      <c r="I58" s="31"/>
      <c r="J58" s="31"/>
      <c r="K58" s="31"/>
    </row>
    <row r="59" spans="1:11" ht="15.75">
      <c r="A59" s="3">
        <f>SUM(A4:A55)</f>
        <v>3739.74</v>
      </c>
      <c r="B59" s="35"/>
      <c r="C59" s="35"/>
      <c r="D59" s="35"/>
      <c r="E59" s="35"/>
      <c r="F59" s="37">
        <f>SUM(F4:F57)</f>
        <v>6985.387200000001</v>
      </c>
      <c r="G59" s="31"/>
      <c r="H59" s="31"/>
      <c r="I59" s="31"/>
      <c r="J59" s="31"/>
      <c r="K59" s="31"/>
    </row>
    <row r="60" spans="1:11" ht="15.75">
      <c r="B60" s="31"/>
      <c r="C60" s="31"/>
      <c r="D60" s="31"/>
      <c r="E60" s="31"/>
      <c r="F60" s="30"/>
      <c r="G60" s="31"/>
      <c r="H60" s="31"/>
      <c r="I60" s="31"/>
      <c r="J60" s="31"/>
      <c r="K60" s="31"/>
    </row>
    <row r="61" spans="1:11" ht="15.75">
      <c r="B61" s="31"/>
      <c r="C61" s="31"/>
      <c r="D61" s="31"/>
      <c r="E61" s="31"/>
      <c r="F61" s="30"/>
      <c r="G61" s="31"/>
      <c r="H61" s="31"/>
      <c r="I61" s="31"/>
      <c r="J61" s="31"/>
      <c r="K61" s="31"/>
    </row>
    <row r="62" spans="1:11" ht="15.75">
      <c r="B62" s="31"/>
      <c r="C62" s="31" t="s">
        <v>62</v>
      </c>
      <c r="D62" s="31" t="s">
        <v>63</v>
      </c>
      <c r="E62" s="31">
        <v>7400</v>
      </c>
      <c r="F62" s="30"/>
      <c r="G62" s="31"/>
      <c r="H62" s="31"/>
      <c r="I62" s="31"/>
      <c r="J62" s="31"/>
      <c r="K62" s="31"/>
    </row>
    <row r="63" spans="1:11" ht="15.75">
      <c r="B63" s="31"/>
      <c r="C63" s="31"/>
      <c r="D63" s="31" t="s">
        <v>64</v>
      </c>
      <c r="E63" s="31">
        <v>360</v>
      </c>
      <c r="F63" s="30"/>
      <c r="G63" s="31"/>
      <c r="H63" s="31"/>
      <c r="I63" s="31"/>
      <c r="J63" s="31"/>
      <c r="K63" s="31"/>
    </row>
    <row r="64" spans="1:11" ht="16.5" thickBot="1">
      <c r="B64" s="31"/>
      <c r="C64" s="31"/>
      <c r="D64" s="31"/>
      <c r="E64" s="41">
        <f>SUM(E62:E63)</f>
        <v>7760</v>
      </c>
      <c r="F64" s="30"/>
      <c r="G64" s="31"/>
      <c r="H64" s="31"/>
      <c r="I64" s="31"/>
      <c r="J64" s="31"/>
      <c r="K64" s="31"/>
    </row>
    <row r="65" spans="2:11" ht="16.5" thickTop="1">
      <c r="B65" s="31"/>
      <c r="C65" s="31"/>
      <c r="D65" s="31"/>
      <c r="E65" s="31"/>
      <c r="F65" s="30"/>
      <c r="G65" s="31"/>
      <c r="H65" s="31"/>
      <c r="I65" s="31"/>
      <c r="J65" s="31"/>
      <c r="K65" s="31"/>
    </row>
    <row r="66" spans="2:11" ht="15.75">
      <c r="B66" s="31"/>
      <c r="C66" s="31"/>
      <c r="D66" s="31"/>
      <c r="E66" s="31"/>
      <c r="F66" s="30"/>
      <c r="G66" s="31"/>
      <c r="H66" s="31"/>
      <c r="I66" s="31"/>
      <c r="J66" s="31"/>
      <c r="K66" s="31"/>
    </row>
    <row r="67" spans="2:11" ht="15.75">
      <c r="B67" s="31"/>
      <c r="C67" s="31"/>
      <c r="D67" s="31"/>
      <c r="E67" s="31"/>
      <c r="F67" s="30"/>
      <c r="G67" s="31"/>
      <c r="H67" s="31"/>
      <c r="I67" s="31"/>
      <c r="J67" s="31"/>
      <c r="K67" s="31"/>
    </row>
    <row r="68" spans="2:11" ht="15.75">
      <c r="B68" s="31"/>
      <c r="C68" s="31"/>
      <c r="D68" s="42"/>
      <c r="E68" s="31"/>
      <c r="F68" s="30"/>
      <c r="G68" s="31"/>
      <c r="H68" s="31"/>
      <c r="I68" s="31"/>
      <c r="J68" s="31"/>
      <c r="K68" s="31"/>
    </row>
    <row r="69" spans="2:11" ht="15.75">
      <c r="B69" s="31"/>
      <c r="C69" s="31"/>
      <c r="D69" s="42"/>
      <c r="E69" s="31"/>
      <c r="F69" s="30"/>
      <c r="G69" s="31"/>
      <c r="H69" s="31"/>
      <c r="I69" s="31"/>
      <c r="J69" s="31"/>
      <c r="K69" s="31"/>
    </row>
    <row r="70" spans="2:11" ht="15.75">
      <c r="B70" s="31"/>
      <c r="C70" s="31"/>
      <c r="D70" s="31"/>
      <c r="E70" s="31"/>
      <c r="F70" s="30"/>
      <c r="G70" s="31"/>
      <c r="H70" s="31"/>
      <c r="I70" s="31"/>
      <c r="J70" s="31"/>
      <c r="K70" s="31"/>
    </row>
    <row r="71" spans="2:11" ht="15.75">
      <c r="B71" s="31"/>
      <c r="C71" s="31"/>
      <c r="D71" s="31"/>
      <c r="E71" s="31"/>
      <c r="F71" s="30"/>
      <c r="G71" s="31"/>
      <c r="H71" s="31"/>
      <c r="I71" s="31"/>
      <c r="J71" s="31"/>
      <c r="K71" s="31"/>
    </row>
    <row r="72" spans="2:11" ht="15.75">
      <c r="B72" s="31"/>
      <c r="C72" s="31"/>
      <c r="D72" s="42"/>
      <c r="E72" s="31"/>
      <c r="F72" s="30"/>
      <c r="G72" s="31"/>
      <c r="H72" s="31"/>
      <c r="I72" s="31"/>
      <c r="J72" s="31"/>
      <c r="K72" s="31"/>
    </row>
  </sheetData>
  <pageMargins left="0.25" right="0.25" top="0.75" bottom="0.75" header="0.3" footer="0.3"/>
  <pageSetup paperSize="9" scale="74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workbookViewId="0">
      <selection activeCell="D8" sqref="D8"/>
    </sheetView>
  </sheetViews>
  <sheetFormatPr defaultRowHeight="15.75"/>
  <cols>
    <col min="1" max="1" width="37.28515625" style="4" customWidth="1"/>
    <col min="2" max="2" width="2.140625" style="4" customWidth="1"/>
    <col min="3" max="3" width="15.42578125" style="6" customWidth="1"/>
    <col min="4" max="4" width="14.5703125" style="7" customWidth="1"/>
    <col min="5" max="5" width="13.85546875" style="6" customWidth="1"/>
    <col min="6" max="6" width="15" style="6" customWidth="1"/>
    <col min="7" max="7" width="18.140625" style="4" bestFit="1" customWidth="1"/>
    <col min="8" max="8" width="9.140625" style="4"/>
    <col min="9" max="9" width="12.7109375" style="4" customWidth="1"/>
    <col min="10" max="10" width="16.42578125" style="4" bestFit="1" customWidth="1"/>
    <col min="11" max="16384" width="9.140625" style="4"/>
  </cols>
  <sheetData>
    <row r="1" spans="1:10" ht="18">
      <c r="A1" s="146" t="s">
        <v>67</v>
      </c>
      <c r="B1" s="146"/>
      <c r="C1" s="146"/>
      <c r="D1" s="146"/>
      <c r="E1" s="146"/>
      <c r="F1" s="146"/>
    </row>
    <row r="2" spans="1:10">
      <c r="A2" s="5"/>
      <c r="B2" s="5"/>
    </row>
    <row r="3" spans="1:10">
      <c r="A3" s="5"/>
      <c r="B3" s="5"/>
      <c r="C3" s="8" t="s">
        <v>68</v>
      </c>
      <c r="D3" s="8" t="s">
        <v>68</v>
      </c>
      <c r="E3" s="9"/>
      <c r="F3" s="8" t="s">
        <v>69</v>
      </c>
    </row>
    <row r="4" spans="1:10" ht="31.5">
      <c r="A4" s="5"/>
      <c r="B4" s="5"/>
      <c r="C4" s="10" t="s">
        <v>70</v>
      </c>
      <c r="D4" s="10" t="s">
        <v>70</v>
      </c>
      <c r="E4" s="11"/>
      <c r="F4" s="10" t="s">
        <v>70</v>
      </c>
    </row>
    <row r="5" spans="1:10">
      <c r="A5" s="5"/>
      <c r="B5" s="5"/>
      <c r="C5" s="12" t="s">
        <v>71</v>
      </c>
      <c r="D5" s="10"/>
      <c r="E5" s="11"/>
      <c r="F5" s="10"/>
    </row>
    <row r="6" spans="1:10" s="14" customFormat="1">
      <c r="A6" s="13"/>
      <c r="B6" s="13"/>
      <c r="C6" s="12" t="s">
        <v>72</v>
      </c>
      <c r="D6" s="12" t="s">
        <v>73</v>
      </c>
      <c r="E6" s="7"/>
      <c r="F6" s="12" t="s">
        <v>73</v>
      </c>
    </row>
    <row r="7" spans="1:10">
      <c r="C7" s="15" t="s">
        <v>74</v>
      </c>
      <c r="D7" s="15" t="s">
        <v>74</v>
      </c>
      <c r="E7" s="15"/>
      <c r="F7" s="15" t="s">
        <v>74</v>
      </c>
    </row>
    <row r="8" spans="1:10">
      <c r="A8" s="4" t="s">
        <v>75</v>
      </c>
      <c r="C8" s="16">
        <v>5600</v>
      </c>
      <c r="D8" s="16">
        <f>6550-360</f>
        <v>6190</v>
      </c>
      <c r="F8" s="16">
        <v>5600</v>
      </c>
      <c r="H8" s="22"/>
    </row>
    <row r="9" spans="1:10">
      <c r="D9" s="6"/>
    </row>
    <row r="10" spans="1:10">
      <c r="A10" s="4" t="s">
        <v>76</v>
      </c>
      <c r="C10" s="17">
        <v>-207.72</v>
      </c>
      <c r="D10" s="17">
        <v>-207.72</v>
      </c>
      <c r="E10" s="17"/>
      <c r="F10" s="17">
        <v>-207.72</v>
      </c>
    </row>
    <row r="11" spans="1:10">
      <c r="C11" s="18"/>
      <c r="D11" s="18"/>
      <c r="E11" s="19"/>
      <c r="F11" s="18"/>
    </row>
    <row r="12" spans="1:10">
      <c r="A12" s="4" t="s">
        <v>77</v>
      </c>
      <c r="C12" s="20">
        <f>C8+C10</f>
        <v>5392.28</v>
      </c>
      <c r="D12" s="20">
        <f>D8+D10</f>
        <v>5982.28</v>
      </c>
      <c r="E12" s="20"/>
      <c r="F12" s="20">
        <f>F8+F10</f>
        <v>5392.28</v>
      </c>
    </row>
    <row r="13" spans="1:10">
      <c r="D13" s="6"/>
    </row>
    <row r="14" spans="1:10">
      <c r="A14" s="4" t="s">
        <v>78</v>
      </c>
      <c r="C14" s="16">
        <v>187.07</v>
      </c>
      <c r="D14" s="16">
        <v>187.07</v>
      </c>
      <c r="E14" s="7"/>
      <c r="F14" s="16">
        <v>182.38</v>
      </c>
      <c r="J14" s="21"/>
    </row>
    <row r="15" spans="1:10">
      <c r="D15" s="6"/>
      <c r="J15" s="22"/>
    </row>
    <row r="16" spans="1:10">
      <c r="A16" s="23" t="s">
        <v>79</v>
      </c>
      <c r="B16" s="23"/>
      <c r="C16" s="24">
        <f>ROUND(C12/C14,2)</f>
        <v>28.82</v>
      </c>
      <c r="D16" s="24">
        <f>ROUND(D12/D14,2)</f>
        <v>31.98</v>
      </c>
      <c r="E16" s="25"/>
      <c r="F16" s="24">
        <f>ROUND(F12/F14,2)</f>
        <v>29.57</v>
      </c>
      <c r="J16" s="21"/>
    </row>
    <row r="17" spans="1:12">
      <c r="A17" s="23"/>
      <c r="B17" s="23"/>
      <c r="C17" s="25"/>
      <c r="D17" s="25"/>
      <c r="E17" s="25"/>
      <c r="F17" s="25"/>
    </row>
    <row r="18" spans="1:12">
      <c r="A18" s="23"/>
      <c r="B18" s="23"/>
      <c r="C18" s="25"/>
      <c r="D18" s="25"/>
      <c r="E18" s="25"/>
      <c r="F18" s="25"/>
      <c r="K18" s="26"/>
    </row>
    <row r="19" spans="1:12">
      <c r="A19" s="23" t="s">
        <v>80</v>
      </c>
      <c r="B19" s="23"/>
      <c r="D19" s="6"/>
    </row>
    <row r="20" spans="1:12">
      <c r="A20" s="4" t="s">
        <v>81</v>
      </c>
      <c r="C20" s="27">
        <f>SUM(C16-F16)/F16</f>
        <v>-2.5363544132566789E-2</v>
      </c>
      <c r="D20" s="27">
        <f>SUM(D16-F16)/F16</f>
        <v>8.1501521812647956E-2</v>
      </c>
      <c r="E20" s="28"/>
      <c r="F20" s="29"/>
    </row>
    <row r="23" spans="1:12">
      <c r="L23" s="4" t="s">
        <v>82</v>
      </c>
    </row>
    <row r="25" spans="1:12">
      <c r="L25" s="4" t="s">
        <v>82</v>
      </c>
    </row>
  </sheetData>
  <mergeCells count="1">
    <mergeCell ref="A1:F1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workbookViewId="0">
      <selection activeCell="C16" sqref="C16"/>
    </sheetView>
  </sheetViews>
  <sheetFormatPr defaultRowHeight="15"/>
  <cols>
    <col min="1" max="1" width="26.42578125" customWidth="1"/>
    <col min="3" max="3" width="15.140625" customWidth="1"/>
    <col min="4" max="4" width="14.28515625" customWidth="1"/>
    <col min="6" max="6" width="12" customWidth="1"/>
  </cols>
  <sheetData>
    <row r="1" spans="1:8" ht="18">
      <c r="A1" s="147" t="s">
        <v>96</v>
      </c>
      <c r="B1" s="147"/>
      <c r="C1" s="147"/>
      <c r="D1" s="147"/>
      <c r="E1" s="147"/>
      <c r="F1" s="147"/>
    </row>
    <row r="2" spans="1:8" ht="15.75">
      <c r="A2" s="83"/>
      <c r="B2" s="83"/>
      <c r="C2" s="84"/>
      <c r="D2" s="85"/>
      <c r="E2" s="84"/>
      <c r="F2" s="84"/>
    </row>
    <row r="3" spans="1:8" ht="15.75">
      <c r="A3" s="83"/>
      <c r="B3" s="83"/>
      <c r="C3" s="86" t="s">
        <v>138</v>
      </c>
      <c r="D3" s="86" t="s">
        <v>138</v>
      </c>
      <c r="E3" s="87"/>
      <c r="F3" s="86" t="s">
        <v>97</v>
      </c>
    </row>
    <row r="4" spans="1:8" ht="31.5">
      <c r="A4" s="83"/>
      <c r="B4" s="83"/>
      <c r="C4" s="88" t="s">
        <v>70</v>
      </c>
      <c r="D4" s="88" t="s">
        <v>70</v>
      </c>
      <c r="E4" s="89"/>
      <c r="F4" s="88" t="s">
        <v>70</v>
      </c>
    </row>
    <row r="5" spans="1:8" ht="15.75">
      <c r="A5" s="83"/>
      <c r="B5" s="83"/>
      <c r="C5" s="84"/>
      <c r="D5" s="88"/>
      <c r="E5" s="89"/>
      <c r="F5" s="88"/>
    </row>
    <row r="6" spans="1:8" ht="47.25">
      <c r="A6" s="90"/>
      <c r="B6" s="90"/>
      <c r="C6" s="91" t="s">
        <v>139</v>
      </c>
      <c r="D6" s="92" t="s">
        <v>197</v>
      </c>
      <c r="E6" s="85"/>
      <c r="F6" s="92" t="s">
        <v>73</v>
      </c>
    </row>
    <row r="7" spans="1:8" ht="15.75">
      <c r="A7" s="93"/>
      <c r="B7" s="93"/>
      <c r="C7" s="94" t="s">
        <v>74</v>
      </c>
      <c r="D7" s="94" t="s">
        <v>74</v>
      </c>
      <c r="E7" s="94"/>
      <c r="F7" s="94" t="s">
        <v>74</v>
      </c>
    </row>
    <row r="8" spans="1:8" ht="15.75">
      <c r="A8" s="93" t="s">
        <v>75</v>
      </c>
      <c r="B8" s="93"/>
      <c r="C8" s="95">
        <v>7665</v>
      </c>
      <c r="D8" s="95">
        <v>7665</v>
      </c>
      <c r="E8" s="84"/>
      <c r="F8" s="95">
        <v>7665</v>
      </c>
    </row>
    <row r="9" spans="1:8" ht="15.75">
      <c r="A9" s="93"/>
      <c r="B9" s="93"/>
      <c r="C9" s="84"/>
      <c r="D9" s="84"/>
      <c r="E9" s="84"/>
      <c r="F9" s="84"/>
    </row>
    <row r="10" spans="1:8" ht="15.75">
      <c r="A10" s="93" t="s">
        <v>76</v>
      </c>
      <c r="B10" s="93"/>
      <c r="C10" s="96">
        <v>-207.72</v>
      </c>
      <c r="D10" s="96">
        <v>-207.72</v>
      </c>
      <c r="E10" s="96"/>
      <c r="F10" s="96">
        <v>-207.72</v>
      </c>
    </row>
    <row r="11" spans="1:8" ht="15.75">
      <c r="A11" s="93"/>
      <c r="B11" s="93"/>
      <c r="C11" s="97"/>
      <c r="D11" s="97"/>
      <c r="E11" s="98"/>
      <c r="F11" s="97"/>
    </row>
    <row r="12" spans="1:8" ht="15.75">
      <c r="A12" s="93" t="s">
        <v>77</v>
      </c>
      <c r="B12" s="93"/>
      <c r="C12" s="99">
        <f>C8+C10</f>
        <v>7457.28</v>
      </c>
      <c r="D12" s="99">
        <f>D8+D10</f>
        <v>7457.28</v>
      </c>
      <c r="E12" s="99"/>
      <c r="F12" s="99">
        <f>F8+F10</f>
        <v>7457.28</v>
      </c>
      <c r="H12" s="117"/>
    </row>
    <row r="13" spans="1:8" ht="15.75">
      <c r="A13" s="93"/>
      <c r="B13" s="93"/>
      <c r="C13" s="84"/>
      <c r="D13" s="84"/>
      <c r="E13" s="84"/>
      <c r="F13" s="84"/>
    </row>
    <row r="14" spans="1:8" ht="15.75">
      <c r="A14" s="93" t="s">
        <v>78</v>
      </c>
      <c r="B14" s="93"/>
      <c r="C14" s="95">
        <v>187.12</v>
      </c>
      <c r="D14" s="95">
        <v>187.12</v>
      </c>
      <c r="E14" s="85"/>
      <c r="F14" s="95">
        <v>192.46</v>
      </c>
    </row>
    <row r="15" spans="1:8" ht="15.75">
      <c r="A15" s="93"/>
      <c r="B15" s="93"/>
      <c r="C15" s="84"/>
      <c r="D15" s="84"/>
      <c r="E15" s="84"/>
      <c r="F15" s="84"/>
    </row>
    <row r="16" spans="1:8" ht="15.75">
      <c r="A16" s="100" t="s">
        <v>79</v>
      </c>
      <c r="B16" s="100"/>
      <c r="C16" s="101">
        <f>ROUND(C12/C14,2)</f>
        <v>39.85</v>
      </c>
      <c r="D16" s="101">
        <f>ROUND(D12/D14,2)</f>
        <v>39.85</v>
      </c>
      <c r="E16" s="102"/>
      <c r="F16" s="101">
        <f>ROUND(F12/F14,2)</f>
        <v>38.75</v>
      </c>
    </row>
    <row r="17" spans="1:6" ht="15.75">
      <c r="A17" s="100"/>
      <c r="B17" s="100"/>
      <c r="C17" s="102"/>
      <c r="D17" s="102"/>
      <c r="E17" s="102"/>
      <c r="F17" s="102"/>
    </row>
    <row r="18" spans="1:6" ht="15.75">
      <c r="A18" s="100"/>
      <c r="B18" s="100"/>
      <c r="C18" s="102"/>
      <c r="D18" s="102"/>
      <c r="E18" s="102"/>
      <c r="F18" s="102"/>
    </row>
    <row r="19" spans="1:6" ht="15.75">
      <c r="A19" s="100" t="s">
        <v>80</v>
      </c>
      <c r="B19" s="100"/>
      <c r="C19" s="84"/>
      <c r="D19" s="84"/>
      <c r="E19" s="84"/>
      <c r="F19" s="84"/>
    </row>
    <row r="20" spans="1:6" ht="15.75">
      <c r="A20" s="93" t="s">
        <v>81</v>
      </c>
      <c r="B20" s="93"/>
      <c r="C20" s="103">
        <f>SUM(C16-F16)/F16</f>
        <v>2.8387096774193585E-2</v>
      </c>
      <c r="D20" s="103">
        <f>SUM(D16-F16)/F16</f>
        <v>2.8387096774193585E-2</v>
      </c>
      <c r="E20" s="104"/>
      <c r="F20" s="105"/>
    </row>
    <row r="21" spans="1:6" ht="15.75">
      <c r="A21" s="93"/>
      <c r="B21" s="93"/>
      <c r="C21" s="84"/>
      <c r="D21" s="85"/>
      <c r="E21" s="84"/>
      <c r="F21" s="84"/>
    </row>
  </sheetData>
  <mergeCells count="1">
    <mergeCell ref="A1:F1"/>
  </mergeCells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topLeftCell="A23" workbookViewId="0">
      <selection activeCell="T4" sqref="T4"/>
    </sheetView>
  </sheetViews>
  <sheetFormatPr defaultRowHeight="15.75"/>
  <cols>
    <col min="1" max="1" width="9.140625" style="107"/>
    <col min="2" max="2" width="17.85546875" style="107" customWidth="1"/>
    <col min="3" max="5" width="9.140625" style="107"/>
    <col min="6" max="6" width="6" style="107" customWidth="1"/>
    <col min="7" max="7" width="9.140625" style="107"/>
    <col min="8" max="8" width="5.5703125" style="107" customWidth="1"/>
    <col min="9" max="11" width="9.140625" style="107"/>
    <col min="12" max="12" width="5.7109375" style="107" customWidth="1"/>
    <col min="13" max="13" width="9.140625" style="107"/>
    <col min="14" max="14" width="5.5703125" style="107" customWidth="1"/>
    <col min="15" max="16" width="9.140625" style="107"/>
    <col min="17" max="17" width="9.7109375" style="107" customWidth="1"/>
    <col min="18" max="16384" width="9.140625" style="107"/>
  </cols>
  <sheetData>
    <row r="1" spans="1:19" ht="25.5" customHeight="1" thickBot="1">
      <c r="A1" s="107" t="s">
        <v>198</v>
      </c>
      <c r="P1" s="119"/>
      <c r="Q1" s="119"/>
      <c r="R1" s="119"/>
    </row>
    <row r="2" spans="1:19" ht="24" customHeight="1" thickBot="1">
      <c r="A2" s="108" t="s">
        <v>199</v>
      </c>
      <c r="B2" s="108"/>
      <c r="C2" s="108"/>
      <c r="D2" s="108"/>
      <c r="E2" s="108"/>
      <c r="F2" s="108"/>
      <c r="G2" s="108"/>
      <c r="H2" s="108"/>
      <c r="I2" s="108"/>
      <c r="J2" s="109"/>
      <c r="K2" s="108"/>
      <c r="L2" s="108"/>
      <c r="M2" s="108"/>
      <c r="N2" s="108"/>
      <c r="O2" s="108"/>
      <c r="P2" s="120"/>
      <c r="Q2" s="120"/>
      <c r="R2" s="120"/>
    </row>
    <row r="3" spans="1:19" ht="24" customHeight="1">
      <c r="A3" s="121"/>
      <c r="B3" s="121"/>
      <c r="C3" s="121"/>
      <c r="D3" s="121"/>
      <c r="E3" s="148" t="s">
        <v>200</v>
      </c>
      <c r="F3" s="148"/>
      <c r="G3" s="148"/>
      <c r="H3" s="148"/>
      <c r="I3" s="148"/>
      <c r="J3" s="110"/>
      <c r="K3" s="149" t="s">
        <v>201</v>
      </c>
      <c r="L3" s="148"/>
      <c r="M3" s="148"/>
      <c r="N3" s="148"/>
      <c r="O3" s="148"/>
      <c r="P3" s="122"/>
      <c r="Q3" s="122"/>
      <c r="R3" s="122"/>
    </row>
    <row r="4" spans="1:19" ht="99.95" customHeight="1">
      <c r="A4" s="123"/>
      <c r="B4" s="123" t="s">
        <v>143</v>
      </c>
      <c r="C4" s="124"/>
      <c r="D4" s="123" t="s">
        <v>144</v>
      </c>
      <c r="E4" s="125" t="s">
        <v>202</v>
      </c>
      <c r="F4" s="125"/>
      <c r="G4" s="125" t="s">
        <v>145</v>
      </c>
      <c r="H4" s="125"/>
      <c r="I4" s="125" t="s">
        <v>146</v>
      </c>
      <c r="J4" s="126"/>
      <c r="K4" s="125" t="s">
        <v>202</v>
      </c>
      <c r="L4" s="125"/>
      <c r="M4" s="125" t="s">
        <v>145</v>
      </c>
      <c r="N4" s="125"/>
      <c r="O4" s="125" t="s">
        <v>147</v>
      </c>
      <c r="P4" s="127"/>
      <c r="Q4" s="127" t="s">
        <v>203</v>
      </c>
      <c r="R4" s="127" t="s">
        <v>204</v>
      </c>
    </row>
    <row r="5" spans="1:19">
      <c r="A5" s="128">
        <v>1</v>
      </c>
      <c r="B5" s="128" t="s">
        <v>148</v>
      </c>
      <c r="C5" s="128"/>
      <c r="D5" s="128" t="s">
        <v>149</v>
      </c>
      <c r="E5" s="111">
        <v>196.86</v>
      </c>
      <c r="F5" s="111"/>
      <c r="G5" s="129">
        <v>56.16</v>
      </c>
      <c r="H5" s="129"/>
      <c r="I5" s="130">
        <v>3.5053418803418808</v>
      </c>
      <c r="J5" s="112"/>
      <c r="K5" s="131">
        <v>196.86</v>
      </c>
      <c r="L5" s="131"/>
      <c r="M5" s="129">
        <v>61.34</v>
      </c>
      <c r="N5" s="129"/>
      <c r="O5" s="130">
        <v>3.2093250733615912</v>
      </c>
      <c r="P5" s="132"/>
      <c r="Q5" s="132">
        <f>+K5-E5</f>
        <v>0</v>
      </c>
      <c r="R5" s="133">
        <f>+Q5/E5</f>
        <v>0</v>
      </c>
    </row>
    <row r="6" spans="1:19">
      <c r="A6" s="128">
        <f>+A5+1</f>
        <v>2</v>
      </c>
      <c r="B6" s="128" t="s">
        <v>150</v>
      </c>
      <c r="C6" s="128"/>
      <c r="D6" s="128" t="s">
        <v>149</v>
      </c>
      <c r="E6" s="111">
        <v>960.57</v>
      </c>
      <c r="F6" s="111"/>
      <c r="G6" s="129">
        <v>145.72</v>
      </c>
      <c r="H6" s="129"/>
      <c r="I6" s="130">
        <v>6.5918885533900635</v>
      </c>
      <c r="J6" s="112"/>
      <c r="K6" s="131">
        <v>939.35</v>
      </c>
      <c r="L6" s="131"/>
      <c r="M6" s="129">
        <v>144.41</v>
      </c>
      <c r="N6" s="129"/>
      <c r="O6" s="130">
        <v>6.5047434388200269</v>
      </c>
      <c r="P6" s="132"/>
      <c r="Q6" s="132">
        <f t="shared" ref="Q6:Q43" si="0">+K6-E6</f>
        <v>-21.220000000000027</v>
      </c>
      <c r="R6" s="133">
        <f t="shared" ref="R6:R43" si="1">+Q6/E6</f>
        <v>-2.2091050105666456E-2</v>
      </c>
    </row>
    <row r="7" spans="1:19">
      <c r="A7" s="128">
        <f t="shared" ref="A7:A43" si="2">+A6+1</f>
        <v>3</v>
      </c>
      <c r="B7" s="128" t="s">
        <v>151</v>
      </c>
      <c r="C7" s="128"/>
      <c r="D7" s="128" t="s">
        <v>149</v>
      </c>
      <c r="E7" s="111">
        <v>1602.65</v>
      </c>
      <c r="F7" s="111"/>
      <c r="G7" s="129">
        <v>228.95</v>
      </c>
      <c r="H7" s="129"/>
      <c r="I7" s="130">
        <v>7.0000000000000009</v>
      </c>
      <c r="J7" s="112"/>
      <c r="K7" s="131">
        <v>2095.92</v>
      </c>
      <c r="L7" s="131"/>
      <c r="M7" s="129">
        <v>232.88</v>
      </c>
      <c r="N7" s="129"/>
      <c r="O7" s="130">
        <v>9</v>
      </c>
      <c r="P7" s="132"/>
      <c r="Q7" s="132">
        <f t="shared" si="0"/>
        <v>493.27</v>
      </c>
      <c r="R7" s="133">
        <f t="shared" si="1"/>
        <v>0.30778398277852304</v>
      </c>
    </row>
    <row r="8" spans="1:19">
      <c r="A8" s="128">
        <f t="shared" si="2"/>
        <v>4</v>
      </c>
      <c r="B8" s="128" t="s">
        <v>205</v>
      </c>
      <c r="C8" s="128"/>
      <c r="D8" s="134" t="s">
        <v>149</v>
      </c>
      <c r="E8" s="111">
        <v>0</v>
      </c>
      <c r="F8" s="111"/>
      <c r="G8" s="129">
        <v>0</v>
      </c>
      <c r="H8" s="129"/>
      <c r="I8" s="130">
        <v>0</v>
      </c>
      <c r="J8" s="112"/>
      <c r="K8" s="131">
        <v>9415.9699999999993</v>
      </c>
      <c r="L8" s="131"/>
      <c r="M8" s="129">
        <v>803.41</v>
      </c>
      <c r="N8" s="129"/>
      <c r="O8" s="130">
        <v>11.720005974533551</v>
      </c>
      <c r="P8" s="132"/>
      <c r="Q8" s="132">
        <f t="shared" si="0"/>
        <v>9415.9699999999993</v>
      </c>
      <c r="R8" s="133" t="s">
        <v>206</v>
      </c>
    </row>
    <row r="9" spans="1:19">
      <c r="A9" s="128">
        <f t="shared" si="2"/>
        <v>5</v>
      </c>
      <c r="B9" s="128" t="s">
        <v>152</v>
      </c>
      <c r="C9" s="128"/>
      <c r="D9" s="128" t="s">
        <v>149</v>
      </c>
      <c r="E9" s="111">
        <v>24737.88</v>
      </c>
      <c r="F9" s="111"/>
      <c r="G9" s="129">
        <v>2164.84</v>
      </c>
      <c r="H9" s="129"/>
      <c r="I9" s="130">
        <v>11.427117015576208</v>
      </c>
      <c r="J9" s="112"/>
      <c r="K9" s="131">
        <v>16632.45</v>
      </c>
      <c r="L9" s="131"/>
      <c r="M9" s="129">
        <v>1385.93</v>
      </c>
      <c r="N9" s="129"/>
      <c r="O9" s="130">
        <v>12.000930782939975</v>
      </c>
      <c r="P9" s="132"/>
      <c r="Q9" s="132">
        <f t="shared" si="0"/>
        <v>-8105.43</v>
      </c>
      <c r="R9" s="133">
        <f t="shared" si="1"/>
        <v>-0.32765257168358808</v>
      </c>
      <c r="S9" s="107" t="s">
        <v>207</v>
      </c>
    </row>
    <row r="10" spans="1:19">
      <c r="A10" s="128">
        <f t="shared" si="2"/>
        <v>6</v>
      </c>
      <c r="B10" s="128" t="s">
        <v>154</v>
      </c>
      <c r="C10" s="128"/>
      <c r="D10" s="128" t="s">
        <v>149</v>
      </c>
      <c r="E10" s="111">
        <v>4830</v>
      </c>
      <c r="F10" s="111"/>
      <c r="G10" s="129">
        <v>380</v>
      </c>
      <c r="H10" s="129"/>
      <c r="I10" s="130">
        <v>12.710526315789474</v>
      </c>
      <c r="J10" s="112"/>
      <c r="K10" s="131">
        <v>4818.6400000000003</v>
      </c>
      <c r="L10" s="131"/>
      <c r="M10" s="129">
        <v>383.25</v>
      </c>
      <c r="N10" s="129"/>
      <c r="O10" s="130">
        <v>12.573098499673844</v>
      </c>
      <c r="P10" s="132"/>
      <c r="Q10" s="132">
        <f t="shared" si="0"/>
        <v>-11.359999999999673</v>
      </c>
      <c r="R10" s="133">
        <f t="shared" si="1"/>
        <v>-2.3519668737059362E-3</v>
      </c>
    </row>
    <row r="11" spans="1:19">
      <c r="A11" s="128">
        <f t="shared" si="2"/>
        <v>7</v>
      </c>
      <c r="B11" s="128" t="s">
        <v>153</v>
      </c>
      <c r="C11" s="128"/>
      <c r="D11" s="128" t="s">
        <v>149</v>
      </c>
      <c r="E11" s="111">
        <v>1046.45</v>
      </c>
      <c r="F11" s="111"/>
      <c r="G11" s="129">
        <v>90.46</v>
      </c>
      <c r="H11" s="129"/>
      <c r="I11" s="130">
        <v>11.568096396197216</v>
      </c>
      <c r="J11" s="112"/>
      <c r="K11" s="131">
        <v>1166.45</v>
      </c>
      <c r="L11" s="131"/>
      <c r="M11" s="129">
        <v>90.19</v>
      </c>
      <c r="N11" s="129"/>
      <c r="O11" s="130">
        <v>12.933252023505933</v>
      </c>
      <c r="P11" s="132"/>
      <c r="Q11" s="132">
        <f t="shared" si="0"/>
        <v>120</v>
      </c>
      <c r="R11" s="133">
        <f t="shared" si="1"/>
        <v>0.11467341965693535</v>
      </c>
    </row>
    <row r="12" spans="1:19">
      <c r="A12" s="128">
        <f t="shared" si="2"/>
        <v>8</v>
      </c>
      <c r="B12" s="128" t="s">
        <v>156</v>
      </c>
      <c r="C12" s="128"/>
      <c r="D12" s="128" t="s">
        <v>149</v>
      </c>
      <c r="E12" s="111">
        <v>11203.86</v>
      </c>
      <c r="F12" s="111"/>
      <c r="G12" s="129">
        <v>831.84</v>
      </c>
      <c r="H12" s="129"/>
      <c r="I12" s="130">
        <v>13.468768032313907</v>
      </c>
      <c r="J12" s="112"/>
      <c r="K12" s="131">
        <v>12259.01</v>
      </c>
      <c r="L12" s="131"/>
      <c r="M12" s="129">
        <v>885.95</v>
      </c>
      <c r="N12" s="129"/>
      <c r="O12" s="130">
        <v>13.837135278514589</v>
      </c>
      <c r="P12" s="132"/>
      <c r="Q12" s="132">
        <f t="shared" si="0"/>
        <v>1055.1499999999996</v>
      </c>
      <c r="R12" s="133">
        <f t="shared" si="1"/>
        <v>9.417736387280809E-2</v>
      </c>
    </row>
    <row r="13" spans="1:19">
      <c r="A13" s="128">
        <f t="shared" si="2"/>
        <v>9</v>
      </c>
      <c r="B13" s="128" t="s">
        <v>157</v>
      </c>
      <c r="C13" s="128"/>
      <c r="D13" s="128" t="s">
        <v>149</v>
      </c>
      <c r="E13" s="111">
        <v>1161</v>
      </c>
      <c r="F13" s="111"/>
      <c r="G13" s="129">
        <v>85.62</v>
      </c>
      <c r="H13" s="129"/>
      <c r="I13" s="130">
        <v>13.559915907498247</v>
      </c>
      <c r="J13" s="112"/>
      <c r="K13" s="131">
        <v>1301.6500000000001</v>
      </c>
      <c r="L13" s="131"/>
      <c r="M13" s="129">
        <v>86.59</v>
      </c>
      <c r="N13" s="129"/>
      <c r="O13" s="130">
        <v>15.032336297493938</v>
      </c>
      <c r="P13" s="132"/>
      <c r="Q13" s="132">
        <f t="shared" si="0"/>
        <v>140.65000000000009</v>
      </c>
      <c r="R13" s="133">
        <f t="shared" si="1"/>
        <v>0.12114556416882007</v>
      </c>
    </row>
    <row r="14" spans="1:19">
      <c r="A14" s="128">
        <f t="shared" si="2"/>
        <v>10</v>
      </c>
      <c r="B14" s="128" t="s">
        <v>159</v>
      </c>
      <c r="C14" s="128"/>
      <c r="D14" s="128" t="s">
        <v>149</v>
      </c>
      <c r="E14" s="111">
        <v>1962.4</v>
      </c>
      <c r="F14" s="111"/>
      <c r="G14" s="129">
        <v>117.19</v>
      </c>
      <c r="H14" s="129"/>
      <c r="I14" s="130">
        <v>16.7454560969366</v>
      </c>
      <c r="J14" s="112"/>
      <c r="K14" s="131">
        <v>1961.46</v>
      </c>
      <c r="L14" s="131"/>
      <c r="M14" s="129">
        <v>119</v>
      </c>
      <c r="N14" s="129"/>
      <c r="O14" s="130">
        <v>16.482857142857142</v>
      </c>
      <c r="P14" s="132"/>
      <c r="Q14" s="132">
        <f t="shared" si="0"/>
        <v>-0.94000000000005457</v>
      </c>
      <c r="R14" s="133">
        <f t="shared" si="1"/>
        <v>-4.7900529963313011E-4</v>
      </c>
    </row>
    <row r="15" spans="1:19">
      <c r="A15" s="128">
        <f t="shared" si="2"/>
        <v>11</v>
      </c>
      <c r="B15" s="128" t="s">
        <v>160</v>
      </c>
      <c r="C15" s="128"/>
      <c r="D15" s="128" t="s">
        <v>149</v>
      </c>
      <c r="E15" s="111">
        <v>4959.05</v>
      </c>
      <c r="F15" s="111"/>
      <c r="G15" s="129">
        <v>283.42</v>
      </c>
      <c r="H15" s="129"/>
      <c r="I15" s="130">
        <v>17.497177333991957</v>
      </c>
      <c r="J15" s="112"/>
      <c r="K15" s="131">
        <v>5313.59</v>
      </c>
      <c r="L15" s="131"/>
      <c r="M15" s="129">
        <v>282.45</v>
      </c>
      <c r="N15" s="129"/>
      <c r="O15" s="130">
        <v>18.812497787218977</v>
      </c>
      <c r="P15" s="132"/>
      <c r="Q15" s="132">
        <f t="shared" si="0"/>
        <v>354.53999999999996</v>
      </c>
      <c r="R15" s="133">
        <f t="shared" si="1"/>
        <v>7.1493532027303602E-2</v>
      </c>
    </row>
    <row r="16" spans="1:19">
      <c r="A16" s="128">
        <f t="shared" si="2"/>
        <v>12</v>
      </c>
      <c r="B16" s="128" t="s">
        <v>162</v>
      </c>
      <c r="C16" s="128"/>
      <c r="D16" s="128" t="s">
        <v>149</v>
      </c>
      <c r="E16" s="111">
        <v>3568.11</v>
      </c>
      <c r="F16" s="111"/>
      <c r="G16" s="129">
        <v>183.39</v>
      </c>
      <c r="H16" s="129"/>
      <c r="I16" s="130">
        <v>19.456404384099461</v>
      </c>
      <c r="J16" s="112"/>
      <c r="K16" s="131">
        <v>3555.41</v>
      </c>
      <c r="L16" s="131"/>
      <c r="M16" s="129">
        <v>188.35</v>
      </c>
      <c r="N16" s="129"/>
      <c r="O16" s="130">
        <v>18.876612689142554</v>
      </c>
      <c r="P16" s="132"/>
      <c r="Q16" s="132">
        <f t="shared" si="0"/>
        <v>-12.700000000000273</v>
      </c>
      <c r="R16" s="133">
        <f t="shared" si="1"/>
        <v>-3.559307308350996E-3</v>
      </c>
    </row>
    <row r="17" spans="1:18">
      <c r="A17" s="128">
        <f t="shared" si="2"/>
        <v>13</v>
      </c>
      <c r="B17" s="128" t="s">
        <v>161</v>
      </c>
      <c r="C17" s="128"/>
      <c r="D17" s="128" t="s">
        <v>149</v>
      </c>
      <c r="E17" s="111">
        <v>14319.62</v>
      </c>
      <c r="F17" s="111"/>
      <c r="G17" s="129">
        <v>759.23</v>
      </c>
      <c r="H17" s="129"/>
      <c r="I17" s="130">
        <v>18.860714144593864</v>
      </c>
      <c r="J17" s="112"/>
      <c r="K17" s="131">
        <v>14664.65</v>
      </c>
      <c r="L17" s="131"/>
      <c r="M17" s="129">
        <v>756.29</v>
      </c>
      <c r="N17" s="129"/>
      <c r="O17" s="130">
        <v>19.390247127424665</v>
      </c>
      <c r="P17" s="132"/>
      <c r="Q17" s="132">
        <f t="shared" si="0"/>
        <v>345.02999999999884</v>
      </c>
      <c r="R17" s="133">
        <f t="shared" si="1"/>
        <v>2.4094913133169651E-2</v>
      </c>
    </row>
    <row r="18" spans="1:18">
      <c r="A18" s="128">
        <f t="shared" si="2"/>
        <v>14</v>
      </c>
      <c r="B18" s="128" t="s">
        <v>155</v>
      </c>
      <c r="C18" s="128"/>
      <c r="D18" s="128" t="s">
        <v>149</v>
      </c>
      <c r="E18" s="111">
        <v>2433.1799999999998</v>
      </c>
      <c r="F18" s="111"/>
      <c r="G18" s="129">
        <v>190.42</v>
      </c>
      <c r="H18" s="129"/>
      <c r="I18" s="130">
        <v>12.777964499527361</v>
      </c>
      <c r="J18" s="112"/>
      <c r="K18" s="131">
        <v>3698.18</v>
      </c>
      <c r="L18" s="131"/>
      <c r="M18" s="129">
        <v>189.15</v>
      </c>
      <c r="N18" s="129"/>
      <c r="O18" s="130">
        <v>19.551572825799628</v>
      </c>
      <c r="P18" s="132"/>
      <c r="Q18" s="132">
        <f t="shared" si="0"/>
        <v>1265</v>
      </c>
      <c r="R18" s="133">
        <f t="shared" si="1"/>
        <v>0.51989577425426814</v>
      </c>
    </row>
    <row r="19" spans="1:18">
      <c r="A19" s="128">
        <f t="shared" si="2"/>
        <v>15</v>
      </c>
      <c r="B19" s="128" t="s">
        <v>165</v>
      </c>
      <c r="C19" s="128"/>
      <c r="D19" s="128" t="s">
        <v>149</v>
      </c>
      <c r="E19" s="111">
        <v>46639</v>
      </c>
      <c r="F19" s="111"/>
      <c r="G19" s="129">
        <v>2248.0500000000002</v>
      </c>
      <c r="H19" s="129"/>
      <c r="I19" s="130">
        <v>20.746424679166388</v>
      </c>
      <c r="J19" s="112"/>
      <c r="K19" s="131">
        <v>46639</v>
      </c>
      <c r="L19" s="131"/>
      <c r="M19" s="129">
        <v>2273.38</v>
      </c>
      <c r="N19" s="129"/>
      <c r="O19" s="130">
        <v>20.515268015026084</v>
      </c>
      <c r="P19" s="132"/>
      <c r="Q19" s="132">
        <f t="shared" si="0"/>
        <v>0</v>
      </c>
      <c r="R19" s="133">
        <f t="shared" si="1"/>
        <v>0</v>
      </c>
    </row>
    <row r="20" spans="1:18">
      <c r="A20" s="113">
        <f t="shared" si="2"/>
        <v>16</v>
      </c>
      <c r="B20" s="113" t="s">
        <v>158</v>
      </c>
      <c r="C20" s="113"/>
      <c r="D20" s="113" t="s">
        <v>149</v>
      </c>
      <c r="E20" s="114">
        <v>11267.83</v>
      </c>
      <c r="F20" s="114"/>
      <c r="G20" s="141">
        <v>752.57</v>
      </c>
      <c r="H20" s="141"/>
      <c r="I20" s="142">
        <v>14.972467677425355</v>
      </c>
      <c r="J20" s="115"/>
      <c r="K20" s="143">
        <v>15695.83</v>
      </c>
      <c r="L20" s="143"/>
      <c r="M20" s="141">
        <v>764.69</v>
      </c>
      <c r="N20" s="141"/>
      <c r="O20" s="142">
        <v>20.525742457727965</v>
      </c>
      <c r="P20" s="144"/>
      <c r="Q20" s="132">
        <f t="shared" si="0"/>
        <v>4428</v>
      </c>
      <c r="R20" s="133">
        <f t="shared" si="1"/>
        <v>0.39297717484200595</v>
      </c>
    </row>
    <row r="21" spans="1:18">
      <c r="A21" s="128">
        <f t="shared" si="2"/>
        <v>17</v>
      </c>
      <c r="B21" s="128" t="s">
        <v>163</v>
      </c>
      <c r="C21" s="128"/>
      <c r="D21" s="128" t="s">
        <v>149</v>
      </c>
      <c r="E21" s="111">
        <v>10799.19</v>
      </c>
      <c r="F21" s="111"/>
      <c r="G21" s="129">
        <v>550.04999999999995</v>
      </c>
      <c r="H21" s="129"/>
      <c r="I21" s="130">
        <v>19.633106081265343</v>
      </c>
      <c r="J21" s="112"/>
      <c r="K21" s="131">
        <v>11764.24</v>
      </c>
      <c r="L21" s="131"/>
      <c r="M21" s="129">
        <v>548.16999999999996</v>
      </c>
      <c r="N21" s="129"/>
      <c r="O21" s="130">
        <v>21.460933651969281</v>
      </c>
      <c r="P21" s="132"/>
      <c r="Q21" s="132">
        <f t="shared" si="0"/>
        <v>965.04999999999927</v>
      </c>
      <c r="R21" s="133">
        <f t="shared" si="1"/>
        <v>8.9363183720260433E-2</v>
      </c>
    </row>
    <row r="22" spans="1:18">
      <c r="A22" s="128">
        <f t="shared" si="2"/>
        <v>18</v>
      </c>
      <c r="B22" s="128" t="s">
        <v>164</v>
      </c>
      <c r="C22" s="128"/>
      <c r="D22" s="128" t="s">
        <v>149</v>
      </c>
      <c r="E22" s="111">
        <v>3846.78</v>
      </c>
      <c r="F22" s="111"/>
      <c r="G22" s="129">
        <v>187.56</v>
      </c>
      <c r="H22" s="129"/>
      <c r="I22" s="130">
        <v>20.509596928982727</v>
      </c>
      <c r="J22" s="112"/>
      <c r="K22" s="131">
        <v>4039</v>
      </c>
      <c r="L22" s="131"/>
      <c r="M22" s="129">
        <v>186.82</v>
      </c>
      <c r="N22" s="129"/>
      <c r="O22" s="130">
        <v>21.619740927095602</v>
      </c>
      <c r="P22" s="132"/>
      <c r="Q22" s="132">
        <f t="shared" si="0"/>
        <v>192.2199999999998</v>
      </c>
      <c r="R22" s="133">
        <f t="shared" si="1"/>
        <v>4.9969065036212047E-2</v>
      </c>
    </row>
    <row r="23" spans="1:18">
      <c r="A23" s="128">
        <f t="shared" si="2"/>
        <v>19</v>
      </c>
      <c r="B23" s="128" t="s">
        <v>167</v>
      </c>
      <c r="C23" s="128"/>
      <c r="D23" s="128" t="s">
        <v>149</v>
      </c>
      <c r="E23" s="111">
        <v>4031.76</v>
      </c>
      <c r="F23" s="111"/>
      <c r="G23" s="129">
        <v>179.29</v>
      </c>
      <c r="H23" s="129"/>
      <c r="I23" s="130">
        <v>22.48736683585253</v>
      </c>
      <c r="J23" s="112"/>
      <c r="K23" s="131">
        <v>4134.95</v>
      </c>
      <c r="L23" s="131"/>
      <c r="M23" s="129">
        <v>180.13</v>
      </c>
      <c r="N23" s="129"/>
      <c r="O23" s="130">
        <v>22.955365569311052</v>
      </c>
      <c r="P23" s="132"/>
      <c r="Q23" s="132">
        <f t="shared" si="0"/>
        <v>103.1899999999996</v>
      </c>
      <c r="R23" s="133">
        <f t="shared" si="1"/>
        <v>2.5594281405639123E-2</v>
      </c>
    </row>
    <row r="24" spans="1:18">
      <c r="A24" s="128">
        <f t="shared" si="2"/>
        <v>20</v>
      </c>
      <c r="B24" s="128" t="s">
        <v>168</v>
      </c>
      <c r="C24" s="128"/>
      <c r="D24" s="128" t="s">
        <v>149</v>
      </c>
      <c r="E24" s="111">
        <v>1966</v>
      </c>
      <c r="F24" s="111"/>
      <c r="G24" s="129">
        <v>81.7</v>
      </c>
      <c r="H24" s="129"/>
      <c r="I24" s="130">
        <v>24.063647490820074</v>
      </c>
      <c r="J24" s="112"/>
      <c r="K24" s="131">
        <v>1964.59</v>
      </c>
      <c r="L24" s="131"/>
      <c r="M24" s="129">
        <v>83.22</v>
      </c>
      <c r="N24" s="129"/>
      <c r="O24" s="130">
        <v>23.607185772650805</v>
      </c>
      <c r="P24" s="132"/>
      <c r="Q24" s="132">
        <f t="shared" si="0"/>
        <v>-1.4100000000000819</v>
      </c>
      <c r="R24" s="133">
        <f t="shared" si="1"/>
        <v>-7.1719226856565709E-4</v>
      </c>
    </row>
    <row r="25" spans="1:18">
      <c r="A25" s="128">
        <f t="shared" si="2"/>
        <v>21</v>
      </c>
      <c r="B25" s="128" t="s">
        <v>166</v>
      </c>
      <c r="C25" s="128"/>
      <c r="D25" s="128" t="s">
        <v>149</v>
      </c>
      <c r="E25" s="111">
        <v>5240.78</v>
      </c>
      <c r="F25" s="111"/>
      <c r="G25" s="129">
        <v>237.57</v>
      </c>
      <c r="H25" s="129"/>
      <c r="I25" s="130">
        <v>22.059940228143283</v>
      </c>
      <c r="J25" s="112"/>
      <c r="K25" s="131">
        <v>5929.97</v>
      </c>
      <c r="L25" s="131"/>
      <c r="M25" s="129">
        <v>244.45</v>
      </c>
      <c r="N25" s="129"/>
      <c r="O25" s="130">
        <v>24.258416854162409</v>
      </c>
      <c r="P25" s="132"/>
      <c r="Q25" s="132">
        <f t="shared" si="0"/>
        <v>689.19000000000051</v>
      </c>
      <c r="R25" s="133">
        <f t="shared" si="1"/>
        <v>0.13150523395372454</v>
      </c>
    </row>
    <row r="26" spans="1:18">
      <c r="A26" s="128">
        <f t="shared" si="2"/>
        <v>22</v>
      </c>
      <c r="B26" s="128" t="s">
        <v>170</v>
      </c>
      <c r="C26" s="128"/>
      <c r="D26" s="128" t="s">
        <v>149</v>
      </c>
      <c r="E26" s="111">
        <v>8577.0499999999993</v>
      </c>
      <c r="F26" s="111"/>
      <c r="G26" s="129">
        <v>317.37</v>
      </c>
      <c r="H26" s="129"/>
      <c r="I26" s="130">
        <v>27.025396225226075</v>
      </c>
      <c r="J26" s="112"/>
      <c r="K26" s="131">
        <v>8549.32</v>
      </c>
      <c r="L26" s="131"/>
      <c r="M26" s="129">
        <v>318.81</v>
      </c>
      <c r="N26" s="129"/>
      <c r="O26" s="130">
        <v>26.816348295222859</v>
      </c>
      <c r="P26" s="132"/>
      <c r="Q26" s="132">
        <f t="shared" si="0"/>
        <v>-27.729999999999563</v>
      </c>
      <c r="R26" s="133">
        <f t="shared" si="1"/>
        <v>-3.2330463271170815E-3</v>
      </c>
    </row>
    <row r="27" spans="1:18">
      <c r="A27" s="128">
        <f t="shared" si="2"/>
        <v>23</v>
      </c>
      <c r="B27" s="128" t="s">
        <v>169</v>
      </c>
      <c r="C27" s="128"/>
      <c r="D27" s="128" t="s">
        <v>149</v>
      </c>
      <c r="E27" s="111">
        <v>52043</v>
      </c>
      <c r="F27" s="111"/>
      <c r="G27" s="129">
        <v>1939.02</v>
      </c>
      <c r="H27" s="129"/>
      <c r="I27" s="130">
        <v>26.839846932986767</v>
      </c>
      <c r="J27" s="112"/>
      <c r="K27" s="131">
        <v>55276.93</v>
      </c>
      <c r="L27" s="131"/>
      <c r="M27" s="129">
        <v>2037.88</v>
      </c>
      <c r="N27" s="129"/>
      <c r="O27" s="130">
        <v>27.124722751094271</v>
      </c>
      <c r="P27" s="132"/>
      <c r="Q27" s="132">
        <f t="shared" si="0"/>
        <v>3233.9300000000003</v>
      </c>
      <c r="R27" s="133">
        <f t="shared" si="1"/>
        <v>6.2139576888342339E-2</v>
      </c>
    </row>
    <row r="28" spans="1:18">
      <c r="A28" s="128">
        <f t="shared" si="2"/>
        <v>24</v>
      </c>
      <c r="B28" s="128" t="s">
        <v>171</v>
      </c>
      <c r="C28" s="128"/>
      <c r="D28" s="128" t="s">
        <v>149</v>
      </c>
      <c r="E28" s="111">
        <v>8682.34</v>
      </c>
      <c r="F28" s="111"/>
      <c r="G28" s="129">
        <v>316.54000000000002</v>
      </c>
      <c r="H28" s="129"/>
      <c r="I28" s="130">
        <v>27.428887344411446</v>
      </c>
      <c r="J28" s="112"/>
      <c r="K28" s="131">
        <v>9982.34</v>
      </c>
      <c r="L28" s="131"/>
      <c r="M28" s="129">
        <v>363.99</v>
      </c>
      <c r="N28" s="129"/>
      <c r="O28" s="130">
        <v>27.424764416604852</v>
      </c>
      <c r="P28" s="132"/>
      <c r="Q28" s="132">
        <f t="shared" si="0"/>
        <v>1300</v>
      </c>
      <c r="R28" s="133">
        <f t="shared" si="1"/>
        <v>0.14972922046360773</v>
      </c>
    </row>
    <row r="29" spans="1:18">
      <c r="A29" s="128">
        <f t="shared" si="2"/>
        <v>25</v>
      </c>
      <c r="B29" s="128" t="s">
        <v>173</v>
      </c>
      <c r="C29" s="128"/>
      <c r="D29" s="128" t="s">
        <v>149</v>
      </c>
      <c r="E29" s="111">
        <v>24930.31</v>
      </c>
      <c r="F29" s="111"/>
      <c r="G29" s="129">
        <v>783.94</v>
      </c>
      <c r="H29" s="129"/>
      <c r="I29" s="130">
        <v>31.801298568768019</v>
      </c>
      <c r="J29" s="112"/>
      <c r="K29" s="131">
        <v>24886.91</v>
      </c>
      <c r="L29" s="131"/>
      <c r="M29" s="129">
        <v>783.47</v>
      </c>
      <c r="N29" s="129"/>
      <c r="O29" s="130">
        <v>31.764981428772</v>
      </c>
      <c r="P29" s="132"/>
      <c r="Q29" s="132">
        <f t="shared" si="0"/>
        <v>-43.400000000001455</v>
      </c>
      <c r="R29" s="133">
        <f t="shared" si="1"/>
        <v>-1.7408528012688752E-3</v>
      </c>
    </row>
    <row r="30" spans="1:18">
      <c r="A30" s="128">
        <f t="shared" si="2"/>
        <v>26</v>
      </c>
      <c r="B30" s="128" t="s">
        <v>172</v>
      </c>
      <c r="C30" s="128"/>
      <c r="D30" s="128" t="s">
        <v>149</v>
      </c>
      <c r="E30" s="111">
        <v>8428.14</v>
      </c>
      <c r="F30" s="111"/>
      <c r="G30" s="129">
        <v>274.69</v>
      </c>
      <c r="H30" s="129"/>
      <c r="I30" s="130">
        <v>30.682369216207359</v>
      </c>
      <c r="J30" s="112"/>
      <c r="K30" s="131">
        <v>9449.14</v>
      </c>
      <c r="L30" s="131"/>
      <c r="M30" s="129">
        <v>277.82</v>
      </c>
      <c r="N30" s="129"/>
      <c r="O30" s="130">
        <v>34.011734216399105</v>
      </c>
      <c r="P30" s="132"/>
      <c r="Q30" s="132">
        <f t="shared" si="0"/>
        <v>1021</v>
      </c>
      <c r="R30" s="133">
        <f t="shared" si="1"/>
        <v>0.12114179403759312</v>
      </c>
    </row>
    <row r="31" spans="1:18">
      <c r="A31" s="128">
        <f t="shared" si="2"/>
        <v>27</v>
      </c>
      <c r="B31" s="128" t="s">
        <v>174</v>
      </c>
      <c r="C31" s="128"/>
      <c r="D31" s="128" t="s">
        <v>149</v>
      </c>
      <c r="E31" s="111">
        <v>63925.38</v>
      </c>
      <c r="F31" s="111"/>
      <c r="G31" s="129">
        <v>1980.34</v>
      </c>
      <c r="H31" s="129"/>
      <c r="I31" s="130">
        <v>32.280002423826211</v>
      </c>
      <c r="J31" s="112"/>
      <c r="K31" s="131">
        <v>71574.62</v>
      </c>
      <c r="L31" s="131"/>
      <c r="M31" s="129">
        <v>2015.73</v>
      </c>
      <c r="N31" s="129"/>
      <c r="O31" s="130">
        <v>35.508039271132539</v>
      </c>
      <c r="P31" s="132"/>
      <c r="Q31" s="132">
        <f t="shared" si="0"/>
        <v>7649.239999999998</v>
      </c>
      <c r="R31" s="133">
        <f t="shared" si="1"/>
        <v>0.11965888978681079</v>
      </c>
    </row>
    <row r="32" spans="1:18">
      <c r="A32" s="135">
        <f t="shared" si="2"/>
        <v>28</v>
      </c>
      <c r="B32" s="135" t="s">
        <v>98</v>
      </c>
      <c r="C32" s="135"/>
      <c r="D32" s="135" t="s">
        <v>149</v>
      </c>
      <c r="E32" s="136">
        <v>7192.28</v>
      </c>
      <c r="F32" s="136"/>
      <c r="G32" s="137">
        <v>185.65</v>
      </c>
      <c r="H32" s="137"/>
      <c r="I32" s="138">
        <v>38.741071909507134</v>
      </c>
      <c r="J32" s="139"/>
      <c r="K32" s="140">
        <v>7457.28</v>
      </c>
      <c r="L32" s="140"/>
      <c r="M32" s="137">
        <v>192.46</v>
      </c>
      <c r="N32" s="137"/>
      <c r="O32" s="138">
        <v>38.747168242751741</v>
      </c>
      <c r="P32" s="145"/>
      <c r="Q32" s="145">
        <f t="shared" si="0"/>
        <v>265</v>
      </c>
      <c r="R32" s="133">
        <f t="shared" si="1"/>
        <v>3.6845061649435226E-2</v>
      </c>
    </row>
    <row r="33" spans="1:18">
      <c r="A33" s="128">
        <f t="shared" si="2"/>
        <v>29</v>
      </c>
      <c r="B33" s="128" t="s">
        <v>177</v>
      </c>
      <c r="C33" s="128"/>
      <c r="D33" s="128" t="s">
        <v>149</v>
      </c>
      <c r="E33" s="111">
        <v>28118.09</v>
      </c>
      <c r="F33" s="111"/>
      <c r="G33" s="129">
        <v>729.47</v>
      </c>
      <c r="H33" s="129"/>
      <c r="I33" s="130">
        <v>38.545916898570191</v>
      </c>
      <c r="J33" s="112"/>
      <c r="K33" s="131">
        <v>29121.72</v>
      </c>
      <c r="L33" s="131"/>
      <c r="M33" s="129">
        <v>733.7</v>
      </c>
      <c r="N33" s="129"/>
      <c r="O33" s="130">
        <v>39.69159056835219</v>
      </c>
      <c r="P33" s="132"/>
      <c r="Q33" s="132">
        <f t="shared" si="0"/>
        <v>1003.630000000001</v>
      </c>
      <c r="R33" s="133">
        <f t="shared" si="1"/>
        <v>3.5693391691967731E-2</v>
      </c>
    </row>
    <row r="34" spans="1:18">
      <c r="A34" s="128">
        <f t="shared" si="2"/>
        <v>30</v>
      </c>
      <c r="B34" s="128" t="s">
        <v>178</v>
      </c>
      <c r="C34" s="128"/>
      <c r="D34" s="128" t="s">
        <v>149</v>
      </c>
      <c r="E34" s="111">
        <v>23988.58</v>
      </c>
      <c r="F34" s="111"/>
      <c r="G34" s="129">
        <v>600.80999999999995</v>
      </c>
      <c r="H34" s="129"/>
      <c r="I34" s="130">
        <v>39.927065128742868</v>
      </c>
      <c r="J34" s="112"/>
      <c r="K34" s="131">
        <v>30367.29</v>
      </c>
      <c r="L34" s="131"/>
      <c r="M34" s="129">
        <v>747.89</v>
      </c>
      <c r="N34" s="129"/>
      <c r="O34" s="130">
        <v>40.603952452900828</v>
      </c>
      <c r="P34" s="132"/>
      <c r="Q34" s="132">
        <f t="shared" si="0"/>
        <v>6378.7099999999991</v>
      </c>
      <c r="R34" s="133">
        <f t="shared" si="1"/>
        <v>0.2659061103241625</v>
      </c>
    </row>
    <row r="35" spans="1:18">
      <c r="A35" s="128">
        <f t="shared" si="2"/>
        <v>31</v>
      </c>
      <c r="B35" s="128" t="s">
        <v>175</v>
      </c>
      <c r="C35" s="128"/>
      <c r="D35" s="128" t="s">
        <v>149</v>
      </c>
      <c r="E35" s="111">
        <v>7334.12</v>
      </c>
      <c r="F35" s="111"/>
      <c r="G35" s="129">
        <v>213.98</v>
      </c>
      <c r="H35" s="129"/>
      <c r="I35" s="130">
        <v>34.274792036638942</v>
      </c>
      <c r="J35" s="112"/>
      <c r="K35" s="131">
        <v>8833.2999999999993</v>
      </c>
      <c r="L35" s="131"/>
      <c r="M35" s="129">
        <v>216.62</v>
      </c>
      <c r="N35" s="129"/>
      <c r="O35" s="130">
        <v>40.777859846736213</v>
      </c>
      <c r="P35" s="132"/>
      <c r="Q35" s="132">
        <f t="shared" si="0"/>
        <v>1499.1799999999994</v>
      </c>
      <c r="R35" s="133">
        <f t="shared" si="1"/>
        <v>0.20441170856217233</v>
      </c>
    </row>
    <row r="36" spans="1:18">
      <c r="A36" s="128">
        <f t="shared" si="2"/>
        <v>32</v>
      </c>
      <c r="B36" s="128" t="s">
        <v>179</v>
      </c>
      <c r="C36" s="128"/>
      <c r="D36" s="128" t="s">
        <v>149</v>
      </c>
      <c r="E36" s="111">
        <v>17700</v>
      </c>
      <c r="F36" s="111"/>
      <c r="G36" s="129">
        <v>442.7</v>
      </c>
      <c r="H36" s="129"/>
      <c r="I36" s="130">
        <v>39.981929071606054</v>
      </c>
      <c r="J36" s="112"/>
      <c r="K36" s="131">
        <v>19261</v>
      </c>
      <c r="L36" s="131"/>
      <c r="M36" s="129">
        <v>459.28</v>
      </c>
      <c r="N36" s="129"/>
      <c r="O36" s="130">
        <v>41.937380247343668</v>
      </c>
      <c r="P36" s="132"/>
      <c r="Q36" s="132">
        <f t="shared" si="0"/>
        <v>1561</v>
      </c>
      <c r="R36" s="133">
        <f t="shared" si="1"/>
        <v>8.8192090395480233E-2</v>
      </c>
    </row>
    <row r="37" spans="1:18">
      <c r="A37" s="128">
        <f t="shared" si="2"/>
        <v>33</v>
      </c>
      <c r="B37" s="128" t="s">
        <v>176</v>
      </c>
      <c r="C37" s="128"/>
      <c r="D37" s="128" t="s">
        <v>149</v>
      </c>
      <c r="E37" s="111">
        <v>2780.07</v>
      </c>
      <c r="F37" s="111"/>
      <c r="G37" s="129">
        <v>73.239999999999995</v>
      </c>
      <c r="H37" s="129"/>
      <c r="I37" s="130">
        <v>37.958356089568547</v>
      </c>
      <c r="J37" s="112"/>
      <c r="K37" s="131">
        <v>3234.07</v>
      </c>
      <c r="L37" s="131"/>
      <c r="M37" s="129">
        <v>75.61</v>
      </c>
      <c r="N37" s="129"/>
      <c r="O37" s="130">
        <v>42.773045893400344</v>
      </c>
      <c r="P37" s="132"/>
      <c r="Q37" s="132">
        <f t="shared" si="0"/>
        <v>454</v>
      </c>
      <c r="R37" s="133">
        <f t="shared" si="1"/>
        <v>0.16330524051552658</v>
      </c>
    </row>
    <row r="38" spans="1:18">
      <c r="A38" s="128">
        <f t="shared" si="2"/>
        <v>34</v>
      </c>
      <c r="B38" s="128" t="s">
        <v>180</v>
      </c>
      <c r="C38" s="128"/>
      <c r="D38" s="128" t="s">
        <v>149</v>
      </c>
      <c r="E38" s="111">
        <v>289489.28000000003</v>
      </c>
      <c r="F38" s="111"/>
      <c r="G38" s="129">
        <v>5842.36</v>
      </c>
      <c r="H38" s="129"/>
      <c r="I38" s="130">
        <v>49.550058537988079</v>
      </c>
      <c r="J38" s="112"/>
      <c r="K38" s="131">
        <v>297860</v>
      </c>
      <c r="L38" s="131"/>
      <c r="M38" s="129">
        <v>5945.3</v>
      </c>
      <c r="N38" s="129"/>
      <c r="O38" s="130">
        <v>50.100079054042688</v>
      </c>
      <c r="P38" s="132"/>
      <c r="Q38" s="132">
        <f t="shared" si="0"/>
        <v>8370.7199999999721</v>
      </c>
      <c r="R38" s="133">
        <f t="shared" si="1"/>
        <v>2.8915474866633994E-2</v>
      </c>
    </row>
    <row r="39" spans="1:18">
      <c r="A39" s="128">
        <f t="shared" si="2"/>
        <v>35</v>
      </c>
      <c r="B39" s="128" t="s">
        <v>181</v>
      </c>
      <c r="C39" s="128"/>
      <c r="D39" s="128" t="s">
        <v>149</v>
      </c>
      <c r="E39" s="111">
        <v>9208.24</v>
      </c>
      <c r="F39" s="111"/>
      <c r="G39" s="129">
        <v>164.43</v>
      </c>
      <c r="H39" s="129"/>
      <c r="I39" s="130">
        <v>56.000973058444316</v>
      </c>
      <c r="J39" s="112"/>
      <c r="K39" s="131">
        <v>9257.24</v>
      </c>
      <c r="L39" s="131"/>
      <c r="M39" s="129">
        <v>165.32</v>
      </c>
      <c r="N39" s="129"/>
      <c r="O39" s="130">
        <v>55.995886765061698</v>
      </c>
      <c r="P39" s="132"/>
      <c r="Q39" s="132">
        <f t="shared" si="0"/>
        <v>49</v>
      </c>
      <c r="R39" s="133">
        <f t="shared" si="1"/>
        <v>5.3213209038860849E-3</v>
      </c>
    </row>
    <row r="40" spans="1:18">
      <c r="A40" s="128">
        <f t="shared" si="2"/>
        <v>36</v>
      </c>
      <c r="B40" s="128" t="s">
        <v>183</v>
      </c>
      <c r="C40" s="128"/>
      <c r="D40" s="128" t="s">
        <v>149</v>
      </c>
      <c r="E40" s="111">
        <v>27681.91</v>
      </c>
      <c r="F40" s="111"/>
      <c r="G40" s="129">
        <v>479.78</v>
      </c>
      <c r="H40" s="129"/>
      <c r="I40" s="130">
        <v>57.697090333069326</v>
      </c>
      <c r="J40" s="112"/>
      <c r="K40" s="131">
        <v>29336.91</v>
      </c>
      <c r="L40" s="131"/>
      <c r="M40" s="129">
        <v>480.3</v>
      </c>
      <c r="N40" s="129"/>
      <c r="O40" s="130">
        <v>61.080387257963771</v>
      </c>
      <c r="P40" s="132"/>
      <c r="Q40" s="132">
        <f t="shared" si="0"/>
        <v>1655</v>
      </c>
      <c r="R40" s="133">
        <f t="shared" si="1"/>
        <v>5.9786336997699939E-2</v>
      </c>
    </row>
    <row r="41" spans="1:18">
      <c r="A41" s="128">
        <f t="shared" si="2"/>
        <v>37</v>
      </c>
      <c r="B41" s="128" t="s">
        <v>182</v>
      </c>
      <c r="C41" s="128"/>
      <c r="D41" s="128" t="s">
        <v>149</v>
      </c>
      <c r="E41" s="111">
        <v>10760</v>
      </c>
      <c r="F41" s="111"/>
      <c r="G41" s="129">
        <v>188.45</v>
      </c>
      <c r="H41" s="129"/>
      <c r="I41" s="130">
        <v>57.097373308569914</v>
      </c>
      <c r="J41" s="112"/>
      <c r="K41" s="131">
        <v>12105</v>
      </c>
      <c r="L41" s="131"/>
      <c r="M41" s="129">
        <v>189.67</v>
      </c>
      <c r="N41" s="129"/>
      <c r="O41" s="130">
        <v>63.821373965308169</v>
      </c>
      <c r="P41" s="132"/>
      <c r="Q41" s="132">
        <f t="shared" si="0"/>
        <v>1345</v>
      </c>
      <c r="R41" s="133">
        <f t="shared" si="1"/>
        <v>0.125</v>
      </c>
    </row>
    <row r="42" spans="1:18">
      <c r="A42" s="128">
        <f t="shared" si="2"/>
        <v>38</v>
      </c>
      <c r="B42" s="128" t="s">
        <v>184</v>
      </c>
      <c r="C42" s="128"/>
      <c r="D42" s="128" t="s">
        <v>149</v>
      </c>
      <c r="E42" s="111">
        <v>65250</v>
      </c>
      <c r="F42" s="111"/>
      <c r="G42" s="129">
        <v>1007.86</v>
      </c>
      <c r="H42" s="129"/>
      <c r="I42" s="130">
        <v>64.741134681404162</v>
      </c>
      <c r="J42" s="112"/>
      <c r="K42" s="131">
        <v>65198.63</v>
      </c>
      <c r="L42" s="131"/>
      <c r="M42" s="129">
        <v>1004.9</v>
      </c>
      <c r="N42" s="129"/>
      <c r="O42" s="130">
        <v>64.880714498955115</v>
      </c>
      <c r="P42" s="132"/>
      <c r="Q42" s="132">
        <f t="shared" si="0"/>
        <v>-51.370000000002619</v>
      </c>
      <c r="R42" s="133">
        <f t="shared" si="1"/>
        <v>-7.872796934866302E-4</v>
      </c>
    </row>
    <row r="43" spans="1:18">
      <c r="A43" s="128">
        <f t="shared" si="2"/>
        <v>39</v>
      </c>
      <c r="B43" s="128" t="s">
        <v>185</v>
      </c>
      <c r="C43" s="128"/>
      <c r="D43" s="128" t="s">
        <v>149</v>
      </c>
      <c r="E43" s="111">
        <v>185349</v>
      </c>
      <c r="F43" s="111"/>
      <c r="G43" s="129">
        <v>1770.05</v>
      </c>
      <c r="H43" s="129"/>
      <c r="I43" s="130">
        <v>104.71399113019406</v>
      </c>
      <c r="J43" s="112"/>
      <c r="K43" s="131">
        <v>189360</v>
      </c>
      <c r="L43" s="131"/>
      <c r="M43" s="129">
        <v>1812.53</v>
      </c>
      <c r="N43" s="129"/>
      <c r="O43" s="130">
        <v>104.47275355442393</v>
      </c>
      <c r="P43" s="132"/>
      <c r="Q43" s="132">
        <f t="shared" si="0"/>
        <v>4011</v>
      </c>
      <c r="R43" s="133">
        <f t="shared" si="1"/>
        <v>2.1640257028632471E-2</v>
      </c>
    </row>
  </sheetData>
  <mergeCells count="2">
    <mergeCell ref="E3:I3"/>
    <mergeCell ref="K3:O3"/>
  </mergeCells>
  <pageMargins left="3.937007874015748E-2" right="3.937007874015748E-2" top="0.15748031496062992" bottom="0.15748031496062992" header="0.31496062992125984" footer="0.31496062992125984"/>
  <pageSetup paperSize="9" scale="70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Budget 2019-20</vt:lpstr>
      <vt:lpstr>salt and enson 2017-18</vt:lpstr>
      <vt:lpstr>Band D</vt:lpstr>
      <vt:lpstr>Precepts by Parish x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2020-11-24T10:40:00Z</cp:lastPrinted>
  <dcterms:created xsi:type="dcterms:W3CDTF">2016-10-12T08:20:21Z</dcterms:created>
  <dcterms:modified xsi:type="dcterms:W3CDTF">2020-11-24T10:40:05Z</dcterms:modified>
</cp:coreProperties>
</file>